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5\Проект решения на 2025-2027г\Пояснительная с приложениями\"/>
    </mc:Choice>
  </mc:AlternateContent>
  <bookViews>
    <workbookView xWindow="0" yWindow="0" windowWidth="28800" windowHeight="12435" firstSheet="1" activeTab="1"/>
  </bookViews>
  <sheets>
    <sheet name="Лист1" sheetId="1" state="hidden" r:id="rId1"/>
    <sheet name="Отчет 2025 год" sheetId="2" r:id="rId2"/>
    <sheet name="Лист2" sheetId="3" state="hidden" r:id="rId3"/>
  </sheets>
  <definedNames>
    <definedName name="_xlnm._FilterDatabase" localSheetId="2" hidden="1">Лист2!$F$5:$H$138</definedName>
    <definedName name="_xlnm._FilterDatabase" localSheetId="1" hidden="1">'Отчет 2025 год'!$A$8:$J$91</definedName>
    <definedName name="_xlnm.Print_Titles" localSheetId="0">Лист1!$6:$8</definedName>
    <definedName name="_xlnm.Print_Titles" localSheetId="1">'Отчет 2025 год'!$6:$8</definedName>
    <definedName name="_xlnm.Print_Area" localSheetId="0">Лист1!$A$1:$I$441</definedName>
    <definedName name="_xlnm.Print_Area" localSheetId="1">'Отчет 2025 год'!$A$1:$J$91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2" l="1"/>
  <c r="H65" i="2" l="1"/>
  <c r="H9" i="2" l="1"/>
  <c r="H46" i="2"/>
  <c r="L2" i="3"/>
  <c r="K2" i="3"/>
  <c r="J2" i="3"/>
  <c r="I88" i="2" l="1"/>
  <c r="J88" i="2"/>
  <c r="H88" i="2"/>
  <c r="H91" i="2" s="1"/>
  <c r="I65" i="2"/>
  <c r="J65" i="2"/>
  <c r="I46" i="2"/>
  <c r="J9" i="2"/>
  <c r="I9" i="2"/>
  <c r="J91" i="2" l="1"/>
  <c r="I91" i="2"/>
  <c r="H437" i="1"/>
  <c r="I437" i="1"/>
  <c r="G437" i="1"/>
  <c r="H432" i="1"/>
  <c r="I432" i="1"/>
  <c r="G432" i="1"/>
  <c r="H428" i="1"/>
  <c r="I428" i="1"/>
  <c r="G428" i="1"/>
  <c r="H423" i="1"/>
  <c r="I423" i="1"/>
  <c r="G423" i="1"/>
  <c r="H419" i="1"/>
  <c r="I419" i="1"/>
  <c r="G419" i="1"/>
  <c r="H415" i="1"/>
  <c r="I415" i="1"/>
  <c r="G415" i="1"/>
  <c r="H411" i="1"/>
  <c r="I411" i="1"/>
  <c r="G411" i="1"/>
  <c r="H406" i="1"/>
  <c r="I406" i="1"/>
  <c r="G406" i="1"/>
  <c r="H396" i="1"/>
  <c r="H395" i="1" s="1"/>
  <c r="I396" i="1"/>
  <c r="I395" i="1" s="1"/>
  <c r="G396" i="1"/>
  <c r="G395" i="1" s="1"/>
  <c r="H390" i="1"/>
  <c r="H389" i="1" s="1"/>
  <c r="I390" i="1"/>
  <c r="I389" i="1" s="1"/>
  <c r="G390" i="1"/>
  <c r="G389" i="1" s="1"/>
  <c r="G383" i="1"/>
  <c r="G382" i="1" s="1"/>
  <c r="H362" i="1"/>
  <c r="H361" i="1" s="1"/>
  <c r="I362" i="1"/>
  <c r="I361" i="1" s="1"/>
  <c r="G362" i="1"/>
  <c r="G361" i="1" s="1"/>
  <c r="G347" i="1"/>
  <c r="H338" i="1"/>
  <c r="I338" i="1"/>
  <c r="G338" i="1"/>
  <c r="H329" i="1"/>
  <c r="I329" i="1"/>
  <c r="G329" i="1"/>
  <c r="H326" i="1"/>
  <c r="H325" i="1" s="1"/>
  <c r="I326" i="1"/>
  <c r="G326" i="1"/>
  <c r="H283" i="1"/>
  <c r="I283" i="1"/>
  <c r="G252" i="1"/>
  <c r="H149" i="1"/>
  <c r="I149" i="1"/>
  <c r="G149" i="1"/>
  <c r="H142" i="1"/>
  <c r="H141" i="1" s="1"/>
  <c r="I142" i="1"/>
  <c r="I141" i="1" s="1"/>
  <c r="G142" i="1"/>
  <c r="G141" i="1" s="1"/>
  <c r="H139" i="1"/>
  <c r="I139" i="1"/>
  <c r="G139" i="1"/>
  <c r="H135" i="1"/>
  <c r="I135" i="1"/>
  <c r="I121" i="1" s="1"/>
  <c r="G135" i="1"/>
  <c r="I124" i="1"/>
  <c r="I122" i="1" s="1"/>
  <c r="H124" i="1"/>
  <c r="H122" i="1" s="1"/>
  <c r="H121" i="1" s="1"/>
  <c r="G124" i="1"/>
  <c r="G122" i="1" s="1"/>
  <c r="F124" i="1"/>
  <c r="E124" i="1"/>
  <c r="D124" i="1"/>
  <c r="G325" i="1" l="1"/>
  <c r="H405" i="1"/>
  <c r="I325" i="1"/>
  <c r="G121" i="1"/>
  <c r="G405" i="1"/>
  <c r="I405" i="1"/>
  <c r="I117" i="1"/>
  <c r="H117" i="1"/>
  <c r="G117" i="1"/>
  <c r="G114" i="1"/>
  <c r="I114" i="1"/>
  <c r="H116" i="1"/>
  <c r="H114" i="1" s="1"/>
  <c r="I111" i="1"/>
  <c r="H111" i="1"/>
  <c r="G111" i="1"/>
  <c r="F111" i="1"/>
  <c r="E111" i="1"/>
  <c r="D111" i="1"/>
  <c r="I110" i="1"/>
  <c r="H110" i="1"/>
  <c r="G110" i="1"/>
  <c r="F110" i="1"/>
  <c r="E110" i="1"/>
  <c r="D110" i="1"/>
  <c r="I108" i="1"/>
  <c r="H108" i="1"/>
  <c r="G108" i="1"/>
  <c r="F108" i="1"/>
  <c r="E108" i="1"/>
  <c r="D108" i="1"/>
  <c r="I106" i="1"/>
  <c r="I104" i="1" s="1"/>
  <c r="H106" i="1"/>
  <c r="G106" i="1"/>
  <c r="F106" i="1"/>
  <c r="E106" i="1"/>
  <c r="D106" i="1"/>
  <c r="I103" i="1"/>
  <c r="H103" i="1"/>
  <c r="G103" i="1"/>
  <c r="F103" i="1"/>
  <c r="E103" i="1"/>
  <c r="D103" i="1"/>
  <c r="I100" i="1"/>
  <c r="H100" i="1"/>
  <c r="G100" i="1"/>
  <c r="F100" i="1"/>
  <c r="E100" i="1"/>
  <c r="D100" i="1"/>
  <c r="I89" i="1"/>
  <c r="H89" i="1"/>
  <c r="G89" i="1"/>
  <c r="F89" i="1"/>
  <c r="E89" i="1"/>
  <c r="D89" i="1"/>
  <c r="I88" i="1"/>
  <c r="H88" i="1"/>
  <c r="G88" i="1"/>
  <c r="G75" i="1" s="1"/>
  <c r="F88" i="1"/>
  <c r="E88" i="1"/>
  <c r="D88" i="1"/>
  <c r="I87" i="1"/>
  <c r="I75" i="1" s="1"/>
  <c r="H87" i="1"/>
  <c r="H75" i="1" s="1"/>
  <c r="G87" i="1"/>
  <c r="F87" i="1"/>
  <c r="E87" i="1"/>
  <c r="D87" i="1"/>
  <c r="I72" i="1"/>
  <c r="H72" i="1"/>
  <c r="G72" i="1"/>
  <c r="F72" i="1"/>
  <c r="E72" i="1"/>
  <c r="D72" i="1"/>
  <c r="I71" i="1"/>
  <c r="H71" i="1"/>
  <c r="G71" i="1"/>
  <c r="F71" i="1"/>
  <c r="E71" i="1"/>
  <c r="D71" i="1"/>
  <c r="I70" i="1"/>
  <c r="H70" i="1"/>
  <c r="G70" i="1"/>
  <c r="G52" i="1" s="1"/>
  <c r="F70" i="1"/>
  <c r="E70" i="1"/>
  <c r="D70" i="1"/>
  <c r="A69" i="1"/>
  <c r="A70" i="1" s="1"/>
  <c r="A71" i="1" s="1"/>
  <c r="A72" i="1" s="1"/>
  <c r="A73" i="1" s="1"/>
  <c r="A74" i="1" s="1"/>
  <c r="I52" i="1" l="1"/>
  <c r="H104" i="1"/>
  <c r="H52" i="1"/>
  <c r="H51" i="1" s="1"/>
  <c r="G104" i="1"/>
  <c r="G51" i="1" s="1"/>
  <c r="I51" i="1"/>
  <c r="H10" i="1"/>
  <c r="I10" i="1"/>
  <c r="G10" i="1"/>
  <c r="H48" i="1"/>
  <c r="I48" i="1"/>
  <c r="G48" i="1"/>
  <c r="H347" i="1"/>
  <c r="I347" i="1"/>
  <c r="H9" i="1" l="1"/>
  <c r="G9" i="1"/>
  <c r="I9" i="1"/>
  <c r="I324" i="1"/>
  <c r="I309" i="1" s="1"/>
  <c r="H324" i="1"/>
  <c r="H309" i="1" s="1"/>
  <c r="G324" i="1"/>
  <c r="G309" i="1" s="1"/>
  <c r="I308" i="1"/>
  <c r="H308" i="1"/>
  <c r="G308" i="1"/>
  <c r="I307" i="1"/>
  <c r="H307" i="1"/>
  <c r="G307" i="1"/>
  <c r="I305" i="1"/>
  <c r="H305" i="1"/>
  <c r="G305" i="1"/>
  <c r="I304" i="1"/>
  <c r="H304" i="1"/>
  <c r="G304" i="1"/>
  <c r="I302" i="1"/>
  <c r="H302" i="1"/>
  <c r="H296" i="1" s="1"/>
  <c r="G302" i="1"/>
  <c r="I292" i="1"/>
  <c r="H292" i="1"/>
  <c r="G292" i="1"/>
  <c r="F292" i="1"/>
  <c r="E292" i="1"/>
  <c r="D292" i="1"/>
  <c r="I291" i="1"/>
  <c r="H291" i="1"/>
  <c r="G291" i="1"/>
  <c r="F291" i="1"/>
  <c r="E291" i="1"/>
  <c r="D291" i="1"/>
  <c r="I290" i="1"/>
  <c r="H290" i="1"/>
  <c r="G290" i="1"/>
  <c r="F290" i="1"/>
  <c r="E290" i="1"/>
  <c r="D290" i="1"/>
  <c r="I289" i="1"/>
  <c r="I286" i="1" s="1"/>
  <c r="H289" i="1"/>
  <c r="G289" i="1"/>
  <c r="E289" i="1"/>
  <c r="D289" i="1"/>
  <c r="G285" i="1"/>
  <c r="G283" i="1" s="1"/>
  <c r="G286" i="1" l="1"/>
  <c r="H286" i="1"/>
  <c r="H282" i="1" s="1"/>
  <c r="G296" i="1"/>
  <c r="G282" i="1" s="1"/>
  <c r="I296" i="1"/>
  <c r="I282" i="1"/>
  <c r="I279" i="1"/>
  <c r="I277" i="1" s="1"/>
  <c r="H279" i="1"/>
  <c r="H277" i="1" s="1"/>
  <c r="G279" i="1"/>
  <c r="G277" i="1" s="1"/>
  <c r="I276" i="1"/>
  <c r="I263" i="1" s="1"/>
  <c r="H276" i="1"/>
  <c r="H263" i="1" s="1"/>
  <c r="G276" i="1"/>
  <c r="G263" i="1" s="1"/>
  <c r="I255" i="1"/>
  <c r="I252" i="1" s="1"/>
  <c r="H255" i="1"/>
  <c r="H252" i="1" s="1"/>
  <c r="I251" i="1" l="1"/>
  <c r="H251" i="1"/>
  <c r="G251" i="1"/>
  <c r="F180" i="1"/>
  <c r="E180" i="1"/>
  <c r="D180" i="1"/>
  <c r="F179" i="1"/>
  <c r="E179" i="1"/>
  <c r="D179" i="1"/>
  <c r="I178" i="1"/>
  <c r="H178" i="1"/>
  <c r="G178" i="1"/>
  <c r="E172" i="1"/>
  <c r="F172" i="1" s="1"/>
  <c r="D172" i="1"/>
  <c r="F171" i="1"/>
  <c r="E171" i="1"/>
  <c r="D171" i="1"/>
  <c r="D169" i="1"/>
  <c r="E169" i="1" s="1"/>
  <c r="F169" i="1" s="1"/>
  <c r="F163" i="1"/>
  <c r="E163" i="1"/>
  <c r="D163" i="1"/>
  <c r="F160" i="1"/>
  <c r="E160" i="1"/>
  <c r="D160" i="1"/>
  <c r="I158" i="1"/>
  <c r="H158" i="1"/>
  <c r="G158" i="1"/>
  <c r="I155" i="1"/>
  <c r="H155" i="1"/>
  <c r="G155" i="1"/>
  <c r="D155" i="1"/>
  <c r="E155" i="1" s="1"/>
  <c r="F155" i="1" s="1"/>
  <c r="G153" i="1" l="1"/>
  <c r="G148" i="1" s="1"/>
  <c r="H153" i="1"/>
  <c r="H148" i="1" s="1"/>
  <c r="I153" i="1"/>
  <c r="I148" i="1" s="1"/>
  <c r="H248" i="1"/>
  <c r="G248" i="1"/>
  <c r="H249" i="1"/>
  <c r="G249" i="1"/>
  <c r="H212" i="1" l="1"/>
  <c r="G212" i="1"/>
  <c r="I219" i="1"/>
  <c r="G237" i="1"/>
  <c r="H219" i="1" l="1"/>
  <c r="H211" i="1" s="1"/>
  <c r="H441" i="1" s="1"/>
  <c r="I211" i="1"/>
  <c r="I441" i="1" s="1"/>
  <c r="G219" i="1"/>
  <c r="G211" i="1" s="1"/>
  <c r="G441" i="1" s="1"/>
</calcChain>
</file>

<file path=xl/sharedStrings.xml><?xml version="1.0" encoding="utf-8"?>
<sst xmlns="http://schemas.openxmlformats.org/spreadsheetml/2006/main" count="1182" uniqueCount="685">
  <si>
    <t>№
п/п</t>
  </si>
  <si>
    <t>Наименование показателя объема, единица измерения</t>
  </si>
  <si>
    <t>2024 год</t>
  </si>
  <si>
    <t>2025 год</t>
  </si>
  <si>
    <t>2026 год</t>
  </si>
  <si>
    <t>Показатели объема</t>
  </si>
  <si>
    <t>Предусмотрено средств
(тыс. рублей)</t>
  </si>
  <si>
    <t>Приложение 2</t>
  </si>
  <si>
    <t>к Пояснительной записке</t>
  </si>
  <si>
    <t>Наименование государственной услуги
(работы)</t>
  </si>
  <si>
    <t>Государственная программа Красноярского края «Развитие здравоохранения»</t>
  </si>
  <si>
    <t>Государственная программа Красноярского края «Развитие системы социальной поддержки граждан»</t>
  </si>
  <si>
    <t>Государственная программа Красноярского края «Реформирование и модернизация жилищно-коммунального хозяйства и повышение энергетической эффективности»</t>
  </si>
  <si>
    <t>Государственная программа Красноярского края «Охрана окружающей среды, воспроизводство природных ресурсов»</t>
  </si>
  <si>
    <t>Государственная программа Красноярского края «Развитие лесного хозяйства»</t>
  </si>
  <si>
    <t>Государственная программа Красноярского края «Развитие культуры и туризма»</t>
  </si>
  <si>
    <t>Государственная программа Красноярского края «Развитие физической культуры и спорта»</t>
  </si>
  <si>
    <t>Государственная программа Красноярского края «Молодежь Красноярского края в XXI веке»</t>
  </si>
  <si>
    <t>Государственная программа Красноярского края «Развитие малого и среднего предпринимательства и инновационной деятельности»</t>
  </si>
  <si>
    <t>Государственная программа Красноярского края «Содействие развитию местного самоуправления»</t>
  </si>
  <si>
    <t>Государственная программа Красноярского края «Создание условий для обеспечения доступным и комфортным жильем граждан»</t>
  </si>
  <si>
    <t>Государственная программа Красноярского края «Содействие занятости населения»</t>
  </si>
  <si>
    <t>Государственная программа Красноярского края «Содействие развитию гражданского общества»</t>
  </si>
  <si>
    <t>Государственная программа Красноярского края «Укрепление единства российской нации и этнокультурное развитие народов Красноярского края</t>
  </si>
  <si>
    <t>Информация по субсидиям на финансовое обеспечение выполнения государственного задания на 2024 год и плановый период 2025–2026 годов</t>
  </si>
  <si>
    <t>Комплекс процессных мероприятий «Государственно-общественное партнерство в сфере государственной национальной политики»</t>
  </si>
  <si>
    <t>Агентство молодежной политики и реализации программ общественного развития Красноярского края</t>
  </si>
  <si>
    <t>Организация и проведение культурно-массовых мероприятий</t>
  </si>
  <si>
    <t>Количество участников мероприятий, человек</t>
  </si>
  <si>
    <t>Количество проведенных мероприятий, единиц</t>
  </si>
  <si>
    <t>Освещение деятельности органов государственной власти</t>
  </si>
  <si>
    <t>Количество телевизионных программ и информационных материалов, штук</t>
  </si>
  <si>
    <t>Комплекс процессных мероприятий «Общероссийская гражданская идентичность»</t>
  </si>
  <si>
    <t>Комплекс процессных мероприятий «Этнокультурное и языковое развитие народов края»</t>
  </si>
  <si>
    <t>Комплекс процессных мероприятий «Развитие русского этноса, русской культуры, традиций и языка»</t>
  </si>
  <si>
    <t>Комплекс процессных мероприятий «Российское казачество Красноярского края»</t>
  </si>
  <si>
    <t>Комплекс процессных мероприятий «Содействие социально-культурной адаптации и интеграции иностранных граждан»</t>
  </si>
  <si>
    <t>Комплекс процессных мероприятий «Противодействие распространению радикальной, экстремистской идеологии на национальной и религиозной почве»</t>
  </si>
  <si>
    <t>Комплекс процессных мероприятий «Обеспечение реализации государственной программы и прочие мероприятия»</t>
  </si>
  <si>
    <t>Всего</t>
  </si>
  <si>
    <t>Министерство лесного хозяйства Красноярского края</t>
  </si>
  <si>
    <t>Региональный проект «Сохранение лесов»</t>
  </si>
  <si>
    <t>Осуществление лесовосстановления и лесоразведения</t>
  </si>
  <si>
    <t>гектары</t>
  </si>
  <si>
    <t xml:space="preserve">агротехнический уход за лесными культурами путем ручной оправки растений от завала травой и почвой, заноса песком, размыва и выдувания почвы, выжимания морозом
</t>
  </si>
  <si>
    <t xml:space="preserve">агротехнический уход за лесными культурами путем рыхления почвы с одновременным уничтожением травянистой и древесной растительности в рядах культур и междурядьях
</t>
  </si>
  <si>
    <t>агротехнический уход за лесными культурами путем дополнения лесных культур, подкормка минеральными удобрениями и полив лесных культур</t>
  </si>
  <si>
    <t>Формирование запаса лесных семян</t>
  </si>
  <si>
    <t>кг</t>
  </si>
  <si>
    <t>Комплекс процессных мероприятий «Обеспечение использования, охраны, защиты и воспроизводства лесов»</t>
  </si>
  <si>
    <t xml:space="preserve">Отвод лесосек </t>
  </si>
  <si>
    <t>отвод лесосек под выборочные рубки(кроме санитарных и рубок ухода в молодниках)</t>
  </si>
  <si>
    <t>отвод лесосек под выборочные санитарные рубки</t>
  </si>
  <si>
    <t>отвод лесосек под рубки ухода в молодниках</t>
  </si>
  <si>
    <t>отвод лесосек под сплошные санитарные рубки</t>
  </si>
  <si>
    <t>отвод лесосек под сплошные рубки (кроме санитарных)</t>
  </si>
  <si>
    <t>Создание лесных дорог, предназначенных для использования, защиты и воспроизводства лесов</t>
  </si>
  <si>
    <t>км</t>
  </si>
  <si>
    <t>Предупреждение распространения вредных организмов</t>
  </si>
  <si>
    <t>сплошная санитарная рубка</t>
  </si>
  <si>
    <t>выборочная санитарная рубка</t>
  </si>
  <si>
    <t>уборка аварийных деревьев</t>
  </si>
  <si>
    <t>штук</t>
  </si>
  <si>
    <t xml:space="preserve">Проведение лесопатологических обследований </t>
  </si>
  <si>
    <t xml:space="preserve">Проведение ухода за лесами </t>
  </si>
  <si>
    <t>рубки прочистки, проводимые в целях ухода за лесами</t>
  </si>
  <si>
    <t>рубки прореживания, проводимые в целях ухода за лесами</t>
  </si>
  <si>
    <t>проходные рубки, проводимые в целях ухода за лесами</t>
  </si>
  <si>
    <t>Ведении государственного лесного реестра</t>
  </si>
  <si>
    <t>километры</t>
  </si>
  <si>
    <t>м.кв</t>
  </si>
  <si>
    <t xml:space="preserve">осуществление мероприятий по
устройству противопожарных минерализованных полос для повышения уровня пожарной безопасности в лесах </t>
  </si>
  <si>
    <t>Мониторинг пожарной опасности в лесах и лесных пожаров (наземный/авиационный)</t>
  </si>
  <si>
    <t>7677503,7/40267759</t>
  </si>
  <si>
    <t xml:space="preserve">Тушение пожаров в лесах </t>
  </si>
  <si>
    <t>создание, реконструкция и эксплуатация лесных дорог, предназначенных для охраны лесов от пожаров за счет средств субвенций из федерального бюджета</t>
  </si>
  <si>
    <t>проведение мероприятий по строительству реконструкции, эксплуатации посадочных площадок для самолетов и вертолетов, используемых в целях проведения авиационных работ по охране и защите лесов</t>
  </si>
  <si>
    <t>осуществление мероприятий по устройствупожарных водоемов и подъездов к источникам противопожарного водоснабжения для повышения уровня пожарной безопасности в лесах</t>
  </si>
  <si>
    <t>снижение природной пожарной опасности лесов путем регулирования породного состава лесных насаждений, проведение профилактического контролируемого противопожарного выжигания хвороста, лесной подстилки, сухой травы и других лесных горючих материалов</t>
  </si>
  <si>
    <t>осуществление мероприятий по прочистке противопожарных минерализованных полос для повышения уровня пожарной безопасности в лесах</t>
  </si>
  <si>
    <t>осуществление мероприятий по эксплуатации пожарных водоемов и подъездов к источникам противопожарного водоснабжения для повышения уровня пожарной безопасности в лесах</t>
  </si>
  <si>
    <t>благоустройство зон отдыха граждан, пребывающих в лесах, установка и эксплуатация шлагбаумов, устройство
преград, обеспечивающих ограничение пребывания граждан в лесах в целях обеспечения пожарной безопасности, создание и содержание противопожарных заслонов, устройство лиственных опушек, установка и размещение стендов, и других знаков и указателей, содержащих информацию о мерах пожарной</t>
  </si>
  <si>
    <t xml:space="preserve">Противопожарное обустройство лесов </t>
  </si>
  <si>
    <t>Обеспечение средствами предупреждения и тушения лесных пожаров</t>
  </si>
  <si>
    <t>cодержание лесопожарных формирований, пожарной техники и оборудования, систем связи и оповещения</t>
  </si>
  <si>
    <t>единицы</t>
  </si>
  <si>
    <t>Региональный проект «Развитие системы поддержки молодежи («Молодежь России)»</t>
  </si>
  <si>
    <t>Агентство молодежной политики и реализации программ общественного развития красноярского края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</si>
  <si>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 </t>
  </si>
  <si>
    <t>Количество мероприятий, единиц</t>
  </si>
  <si>
    <t>Комплекс процессных мероприятий «Вовлечение молодежи в социальную практику»</t>
  </si>
  <si>
    <t>Организация досуга детей, подростков и молодежи (Культурно-досуговые, спортивно-массовые мероприятия)</t>
  </si>
  <si>
    <t>Организация досуга детей, подростков и молодежи (Иная досуговая деятельность)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</si>
  <si>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</si>
  <si>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деятельности специализированных (профильных) лагерей</t>
  </si>
  <si>
    <t xml:space="preserve">Ведение информационных ресурсов и баз данных </t>
  </si>
  <si>
    <t>Количество информационных ресурсов и баз данных, единиц</t>
  </si>
  <si>
    <t>Научно-методическое обеспечение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</si>
  <si>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</si>
  <si>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Комплекс процессных мероприятий «Патриотическое воспитание молодежи»</t>
  </si>
  <si>
    <t>Организация досуга детей, подростков и молодежи (культурно-досуговые, спортивно-массовые мероприятия)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</si>
  <si>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</si>
  <si>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проведения общественно значимых мероприятий в сфере образования, науки и молодежной политики</t>
  </si>
  <si>
    <t>Количество отчетов, единиц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</si>
  <si>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</si>
  <si>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формирований, единиц</t>
  </si>
  <si>
    <t>Агентство труда и занятости населения Красноярского края</t>
  </si>
  <si>
    <t>Реализация дополнительных профессиональных программ повышения квалификации</t>
  </si>
  <si>
    <t>Количество человеко-часов, человеко-часов</t>
  </si>
  <si>
    <t>Организация проведения общественно-значимых мероприятий в сфере образования, науки и молодежной политики</t>
  </si>
  <si>
    <t>Методическое обеспечение образовательной деятельности</t>
  </si>
  <si>
    <t>Министерство строительства Красноярского края</t>
  </si>
  <si>
    <t>Ведение государственной информационной системы обеспечения градостроительной деятельности с функциями автоматизированной информационно-аналитической поддержки осуществления полномочий в области градостроительной  деятельности (ГИСОГД)</t>
  </si>
  <si>
    <t>Количество обработанных и внесенных документов, сведений, и материалов в ГИСОГД, единиц</t>
  </si>
  <si>
    <t>Количество обработанных, внесенных или измененных пространственных объектов в ГИСОГД, единиц</t>
  </si>
  <si>
    <t>Количество учётных записей пользователей, единиц</t>
  </si>
  <si>
    <t>Количество технических консультаций, единиц</t>
  </si>
  <si>
    <t>Главный распорядитель бюджетных средств: министерство промышленности, энергетики и жилищно-коммунального хозяйства Красноярского края</t>
  </si>
  <si>
    <t>Ведение информационных ресурсов и баз данных</t>
  </si>
  <si>
    <t>Количество записей (единиц)</t>
  </si>
  <si>
    <t>1</t>
  </si>
  <si>
    <t>Информационное обеспечение
на территории Красноярского края мероприятий
по энергосбережению и повышению энергетической эффективности, определенных
в качестве обязательных федеральными законами и иными нормативными правовыми актами Российской Федерации,
а также предусмотренных региональной программой
в области энергосбережения и повышения энергетической эффективности</t>
  </si>
  <si>
    <t>Количество консультаций (единиц)</t>
  </si>
  <si>
    <t>Х</t>
  </si>
  <si>
    <t>Количество публикаций в средствах массовой информации, проведенных тематических теле-, радиопередач и информационно-просветительских программ на тему энергосбережения и повышения энергетической эффективности (единиц)</t>
  </si>
  <si>
    <t>Количество информационных материалов о состоянии энергосбережения и повышении энергетической эффективности в Красноярском крае (единиц)</t>
  </si>
  <si>
    <t>Комплекс процессных мероприятий «Открытость власти и информирование населения о деятельности и решениях органов государственной власти Красноярского края и информационно-разъяснительная работа по актуальным социально значимым вопросам»</t>
  </si>
  <si>
    <t>Агентство печати и массовых коммуникаций Красноярского края</t>
  </si>
  <si>
    <t>Осуществление издательской деятельности (газеты)</t>
  </si>
  <si>
    <t>(Количество печатных страниц, штук)</t>
  </si>
  <si>
    <t>Производство и распространение телепрограмм</t>
  </si>
  <si>
    <t>(Час)</t>
  </si>
  <si>
    <t>Количество телевизионных программ и информационных материалов (штук)</t>
  </si>
  <si>
    <t>(человек)</t>
  </si>
  <si>
    <t>Осуществление издательской деятельности (электронно)</t>
  </si>
  <si>
    <t>(Количество материалов, штук)</t>
  </si>
  <si>
    <t>Осуществление издательской деятельности (журнал)</t>
  </si>
  <si>
    <t>(Количество номеров, штук)</t>
  </si>
  <si>
    <t>Размещение материалов с целью гражданско-патриотического воспитания населения</t>
  </si>
  <si>
    <t>Количество материалов, единиц</t>
  </si>
  <si>
    <t>Ведомственный проект «Развитие систем радиационного контроля, обеспечение радиационной безопасности населения края и улучшение социально-экономических условий проживания в зоне наблюдения ФГУП «Горно-химический комбинат»</t>
  </si>
  <si>
    <t>Министерство экологии и рационального природопользования Красноярского края</t>
  </si>
  <si>
    <t xml:space="preserve">Деятельность в области гидрометеорологии и смежных с ней областях, мониторинга состояния окружающей среды, её загрязнения </t>
  </si>
  <si>
    <t>количество сводок</t>
  </si>
  <si>
    <t>Сбор и обработка гидрометеорологической информации и подготовка информационной продукции о состоянии окружающей среды и её загрязнении</t>
  </si>
  <si>
    <t>количество пунктов наблюдений</t>
  </si>
  <si>
    <t>Комплекс процессных мероприятий «Обеспечение охраны окружающей среды, природных комплексов и объектов, сохранение биологического разнообразия»</t>
  </si>
  <si>
    <t>Сбор, обработка, обновление и представление сведений об особо охраняемых природных территориях (далее - ООПТ) краевого значения для ведения государственного кадастра ООПТ краевого и местного значения</t>
  </si>
  <si>
    <t>Количество ООПТ краевого значения, по которым осуществлены сбор, обработка, обновление и представление сведений для ведения государственного кадастра ООПТ краевого и местного значения</t>
  </si>
  <si>
    <t>Количество видов</t>
  </si>
  <si>
    <t>Количество точек наблюдения</t>
  </si>
  <si>
    <t xml:space="preserve">Сохранение и восстановление 
 природных комплексов (природных ландшафтов), достопримечательных природных образований, объектов растительного и животного мира
</t>
  </si>
  <si>
    <t>Количество объектов</t>
  </si>
  <si>
    <t>Площадь, охваченная мероприятиями</t>
  </si>
  <si>
    <t>Объем выкладываемых кормов</t>
  </si>
  <si>
    <t>Количество актов о проведенных мероприятиях</t>
  </si>
  <si>
    <t>Количество изготовленных и установленных предупредительных знаков, аншлагов, информационных щитов и знаков</t>
  </si>
  <si>
    <t xml:space="preserve">Мероприятия по организации, охране и использованию ООПТ краевого значения
</t>
  </si>
  <si>
    <t>Количество обследованных участков территорий, для которых разработаны материалы комплексного экологического обследования участков территорий, обосновывающие придание этим территориям правового статуса ООПТ краевого значения</t>
  </si>
  <si>
    <t>Количество ООПТ краевого значения, по которым подготовлены предложения по актуализации границ и режимов особой охраны</t>
  </si>
  <si>
    <t>Количество подготовленных проектов охранных зон ООПТ краевого значения с материалами, обосновывающими создание охранных зон ООПТ краевого значения</t>
  </si>
  <si>
    <t>Количество рассмотренной документации по осуществлению хозяйственной деятельности в Красноярском крае на предмет наложения на границы ООПТ краевого значения и соответствия режиму охраны ООПТ краевого значения, поступившей в краевое государственное бюджетное учреждение</t>
  </si>
  <si>
    <t>Количество заключений, подготовленных согласно Порядку согласования предоставления в пользование ООПТ краевого значения, утвержденному постановлением Правительства Красноярского края от 14.09.2009 № 477-п</t>
  </si>
  <si>
    <t>Экологическое просвещение населения</t>
  </si>
  <si>
    <t>Количество эколого-просветительских мероприятий</t>
  </si>
  <si>
    <t xml:space="preserve">Охват населения </t>
  </si>
  <si>
    <t>Количество выступлений в средствах массовой информации</t>
  </si>
  <si>
    <t>Количество публикаций</t>
  </si>
  <si>
    <t xml:space="preserve">Количество рекламно-издательской продукции </t>
  </si>
  <si>
    <t>10/17994</t>
  </si>
  <si>
    <t>Количество экспозиций</t>
  </si>
  <si>
    <t>Количество олимпиад</t>
  </si>
  <si>
    <t xml:space="preserve">Охрана и воспроизводство охотничьих 
ресурсов, сохранение и восстановление численности редких и находящихся под 
угрозой исчезновения видов животных и растений
</t>
  </si>
  <si>
    <t>Количество животных, содержащихся в питомнике</t>
  </si>
  <si>
    <t>Количество животных, выращенных в питомнике и выпущенных в естественную среду обитания</t>
  </si>
  <si>
    <t xml:space="preserve">Охрана ООПТ краевого значения,
сохранение биологического разнообразия
</t>
  </si>
  <si>
    <t xml:space="preserve">Трудозатраты </t>
  </si>
  <si>
    <t>Количество контрольных (надзорных) мероприятий</t>
  </si>
  <si>
    <t xml:space="preserve">Количество учетов </t>
  </si>
  <si>
    <t>Предупреждение лесных пожаров</t>
  </si>
  <si>
    <t>Километры</t>
  </si>
  <si>
    <t>Единицы</t>
  </si>
  <si>
    <t>Созданий условий для регулируемого туризма и отдыха, в том числе для развития физической культуры и спорта, и сохранение рекреационных ресурсов</t>
  </si>
  <si>
    <t>Протяженность экологических троп и туристических маршрутов</t>
  </si>
  <si>
    <t>Количество посетителей</t>
  </si>
  <si>
    <t>Количество информационно-справочных ресурсов</t>
  </si>
  <si>
    <t>Количество справок, информационных материалов</t>
  </si>
  <si>
    <t>Количество отчетов, докладов</t>
  </si>
  <si>
    <t>Количество потребителей</t>
  </si>
  <si>
    <t>Количество сводок</t>
  </si>
  <si>
    <t>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</si>
  <si>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Предоставление в пользование геологической информации о недрах, полученной  в результате государственного геологического изучения недр</t>
  </si>
  <si>
    <t>количесто предоставленной геологической информации</t>
  </si>
  <si>
    <t>Проведение лабораторных исследований, измерений и испытаний в рамках государственного экологического надзора</t>
  </si>
  <si>
    <t>количество проведенных исследований, измерений и испытаний</t>
  </si>
  <si>
    <t>Количество пунктов наблюдений</t>
  </si>
  <si>
    <t>Количество сейсмических станций</t>
  </si>
  <si>
    <t>Количество территорий</t>
  </si>
  <si>
    <t>Количество аккредитованных лабораторий</t>
  </si>
  <si>
    <t>Количество участков</t>
  </si>
  <si>
    <t xml:space="preserve">Рассмотрение технических проектов разработки месторождений 
общераспространённых полезных ископаемых, подземных вод, которые используются для целей питьевого и хозяйственно-бытового водоснабжения или технического водоснабжения и объем добычи которых составляет не более 500 кубических метров в сутки, технических проектов строительства и эксплуатации подземных сооружений, технических проектов ликвидации и консервации горных выработок, буровых скважин и иных сооружений, связанных с пользованием недрами в отношении участков недр местного значения
</t>
  </si>
  <si>
    <t>Количество рассмотренных технических проектов разработки месторождений 
общераспространённых полезных ископаемых, подземных вод, которые используются для целей питьевого и хозяйственно-бытового водоснабжения или технического водоснабжения и объем добычи которых составляет не более 500 кубических метров в сутки, технических проектов строительства и эксплуатации подземных сооружений, технических проектов ликвидации и консервации горных выработок, буровых скважин и иных сооружений, связанных с пользованием недрами в отношении участков недр местного значения, единица</t>
  </si>
  <si>
    <t>Подготовка материалов на предоставление в пользование участков недр местного значения</t>
  </si>
  <si>
    <t>Количество подготовленных заявочных материалов на предоставления в пользование участков недр местного значения, подготовленных справок</t>
  </si>
  <si>
    <t>Подготовка документов, удостоверяющих уточненные границы горного отвода (горноотводный акт и графические приложения), в отношении участков недр, содержащих месторождения общераспространенных полезных ископаемых, разработка которых осуществляется без применения взрывных работ</t>
  </si>
  <si>
    <t>Количество подготовленных проектов горноотводных документов</t>
  </si>
  <si>
    <t>Комплекс процессных мероприятий «Создание условий для сохранения культурного и исторического наследия»</t>
  </si>
  <si>
    <t>Министерство культуры Красноярского края</t>
  </si>
  <si>
    <t>Библиотечное, библиографическое информационное обслуживание  пользователей библиотеки</t>
  </si>
  <si>
    <t>Количество посещений, единиц</t>
  </si>
  <si>
    <t>1 999 801</t>
  </si>
  <si>
    <t>2 003 901</t>
  </si>
  <si>
    <t>Публичный показ музейных предметов, музейных коллекций</t>
  </si>
  <si>
    <t>Число посетителей, человек</t>
  </si>
  <si>
    <t>1 721 100</t>
  </si>
  <si>
    <t>1 752 600</t>
  </si>
  <si>
    <t>1 783 900</t>
  </si>
  <si>
    <t>Формирование,  учет, изучение, обеспечение физического сохранения и безопасности фондов библиотеки, включая оцифровку фондов</t>
  </si>
  <si>
    <t>Количество документов, единиц</t>
  </si>
  <si>
    <t>4 708 021</t>
  </si>
  <si>
    <t>4 706 971</t>
  </si>
  <si>
    <t>4 708 971</t>
  </si>
  <si>
    <t>Библиографическая обработка документов и создание каталогов</t>
  </si>
  <si>
    <t>Осуществление стабилизации, реставрации и консервации библиотечного фонда, включая книжные памятники</t>
  </si>
  <si>
    <t>Количество предметов, единиц</t>
  </si>
  <si>
    <t>Методическое обеспечение в области библиотечного дела</t>
  </si>
  <si>
    <t>Количество выездов с целью оказания методической и практической помощи, единиц; количество отчетов, единиц; количество проведенных консультаций, единиц; количество разработанных документов, единиц</t>
  </si>
  <si>
    <t>Формирование, учет, изучение, обеспечение физического сохранения и безопасности музейных предметов, музейных коллекций</t>
  </si>
  <si>
    <t>Осуществление реставрации и консервации музейных предметов, музейных коллекций</t>
  </si>
  <si>
    <t>Комплекс процессных мероприятий «Поддержка искусства, творчества и повышение кадрового потенциала»</t>
  </si>
  <si>
    <t>Показ (организация показа) спектаклей (театральных постановок)</t>
  </si>
  <si>
    <t>Число зрителей, человек</t>
  </si>
  <si>
    <t>Показ (организация показа) концертов и концертных программ</t>
  </si>
  <si>
    <t>Показ кинофильмов</t>
  </si>
  <si>
    <t>Создание спектаклей</t>
  </si>
  <si>
    <t>Количество новых (капитально-возобновленных) постановок, единиц</t>
  </si>
  <si>
    <t>Создание концертов и концертных программ</t>
  </si>
  <si>
    <t>Количество новых (капитально-возобновленных) концертов, единиц</t>
  </si>
  <si>
    <t>Организация показа концертов и концертных программ</t>
  </si>
  <si>
    <t>Количество работ, единиц</t>
  </si>
  <si>
    <t>Прокат кино и видеофильмов</t>
  </si>
  <si>
    <t>Количество выданных копий  из фильмофонда, единиц</t>
  </si>
  <si>
    <t>Работа по формированию и учету фондов фильмофонда</t>
  </si>
  <si>
    <t>Количество фильмокопий, единиц</t>
  </si>
  <si>
    <t>Количество записей, единиц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</si>
  <si>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</si>
  <si>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Количество объектов, единиц</t>
  </si>
  <si>
    <t>2 340</t>
  </si>
  <si>
    <t>Комплекс процессных мероприятий «Обеспечение деятельности системы управления в сфере культуры»</t>
  </si>
  <si>
    <t>Реализация дополнительных профессиональных образовательных программ повышения квалификации</t>
  </si>
  <si>
    <t>Количество человеко-часов</t>
  </si>
  <si>
    <t>Количество информа-ционных ресурсов и баз данных, единиц</t>
  </si>
  <si>
    <t>Комплекс процессных мероприятий «Содействие реализации полномочий органов местного самоуправления и эффективному управлению муниципальным имуществом»</t>
  </si>
  <si>
    <t>Министерство экономики и регионального развития Красноярского края</t>
  </si>
  <si>
    <t>Участие в рассмотрении административных дел об оспаривании результатов определения кадастровой стоимости</t>
  </si>
  <si>
    <t>Предоставление разъяснений результатов определения кадастровой стоимости для физических лиц, в бумажном виде</t>
  </si>
  <si>
    <t>Рассмотрение заявлений, связанных с наличием ошибок, допущенных при определении кадастровой стоимости, для юридических лиц, органов государственной власти и местного самоуправления, в бумажном виде</t>
  </si>
  <si>
    <t>Рассмотрение обращений, связанных с наличием ошибок, допущенных при определении кадастровой стоимости для физических лиц, в бумажном виде</t>
  </si>
  <si>
    <t>Рассмотрение обращений, связанных с наличием ошибок, допущенных при определении кадастровой стоимости для физических лиц, в электронном виде</t>
  </si>
  <si>
    <t>Рассмотрение заявлений и установление кадастровой стоимости в размере рыночной стоимости, в бумажном виде</t>
  </si>
  <si>
    <t>Консультационно-методическая поддержка муниципальных образований (разработка методических материалов)</t>
  </si>
  <si>
    <t>Количество разработанных методических материалов, штук</t>
  </si>
  <si>
    <t>Консультационно-методическая поддержка муниципальных образований (организация мероприятий)</t>
  </si>
  <si>
    <t>Количество мероприятий, штук</t>
  </si>
  <si>
    <t>Консультационно-методическая поддержка муниципальных образований (предоставление консультаций)</t>
  </si>
  <si>
    <t>Количество консультаций, штук</t>
  </si>
  <si>
    <t>Определение кадастровой стоимости объектов недвижимости в соответствии со статьей 14 Федерального закона от 03.07.2016 № 237-ФЗ «О государственной кадастровой оценке», в электронном виде</t>
  </si>
  <si>
    <t>Сбор, обработка, систематизация и накопление информации при определении кадастровой стоимости, в электронном виде</t>
  </si>
  <si>
    <t>Объем собранной информации, единиц</t>
  </si>
  <si>
    <t>Количество объектов недвижимости, для которых определена кадастровая стоимость, единиц</t>
  </si>
  <si>
    <t>Определение кадастровой стоимости объектов недвижимости в соответствии со статьей 16 Федерального закона от 03.07.2016 № 237-ФЗ «О государственной кадастровой оценке», в электронном виде</t>
  </si>
  <si>
    <t xml:space="preserve">Количество объектов недвижимости, для которых определена кадастровая стоимость,
единиц
</t>
  </si>
  <si>
    <t>Количество административных дел, единиц</t>
  </si>
  <si>
    <t>Разъяснение результатов определения кадастровой стоимости для юридических лиц, органов государственной власти и местного самоуправления, в бумажном виде</t>
  </si>
  <si>
    <t>Количество объектов недвижимости, в отношении которых представлены разъяснения, единиц</t>
  </si>
  <si>
    <t>Разъяснение результатов определения кадастровой стоимости для юридических лиц, органов государственной власти и местного самоуправления,  в электронном виде</t>
  </si>
  <si>
    <t>Количество поступивших обращений, запросов, штук</t>
  </si>
  <si>
    <t>Предоставление разъяснений результатов определения кадастровой стоимости для физических лиц, в электронном виде</t>
  </si>
  <si>
    <t>Количество рассмотренных заявлений, связанных с наличием ошибок, допущенных при определе-нии кадастровой стоимости, единиц</t>
  </si>
  <si>
    <t>Рассмотрение заявлений, связанных с наличием ошибок, допущенных при определении кадастровой стоимости для юридических лиц, органов государственной власти и местного самоуправления, в электронном виде</t>
  </si>
  <si>
    <t>Количество рассмотренных заявлений об установлении кадастровой стоимости в размере рыночной стоимости, штук</t>
  </si>
  <si>
    <t>Рассмотрение заявлений и установление кадастровой стоимости в размере рыночной стоимости, в электронном виде</t>
  </si>
  <si>
    <t>Региональный проект «Спорт – норма жизни»</t>
  </si>
  <si>
    <t>Министерство спорта Красноярского края</t>
  </si>
  <si>
    <t xml:space="preserve">Реализация дополнительных образовательных программ споривной подготовки </t>
  </si>
  <si>
    <t>Число лиц, прошедших спортивную подготовку на этапах спортивной подготовки</t>
  </si>
  <si>
    <t>Комплекс процессных мероприятий «Физическая культура и массовый спорт»</t>
  </si>
  <si>
    <t>Обеспечение доступа к объектам спорта</t>
  </si>
  <si>
    <t>Количество договоров</t>
  </si>
  <si>
    <t>Пропаганда физической культуры, спорта и здорового образа жизни</t>
  </si>
  <si>
    <t>Количество спортивно-массовых и физкультурно-оздоровительных мероприятий</t>
  </si>
  <si>
    <t xml:space="preserve">Организация и проведение официальных физкультурных (физкультурно-оздоровительных) мероприятий </t>
  </si>
  <si>
    <t>Количество мероприятий</t>
  </si>
  <si>
    <t>Организация и проведение официальных спортивных мероприятий</t>
  </si>
  <si>
    <t xml:space="preserve">Участие в организации официальных спортивных мероприятий </t>
  </si>
  <si>
    <t>Организация мероприятий по подготовке спортивных сборных команд</t>
  </si>
  <si>
    <t>количество спортсменов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</si>
  <si>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</si>
  <si>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Проведение тестирования выполнения нормативов испытаний (тестов) комплекса ГТО</t>
  </si>
  <si>
    <t>Комплекс процессных мероприятий «Спорт высших достижений»</t>
  </si>
  <si>
    <t>Количество информационных ресурсов и баз данных</t>
  </si>
  <si>
    <t>Комплексная реабилитация лиц, уволенных из системы Вооруженных сил и других силовых структур в следствие военных травм</t>
  </si>
  <si>
    <t>Обеспечение участия в официальных физкультурных(физкультурно-оздоровительных) мероприятиях</t>
  </si>
  <si>
    <t>Организация и обеспечение координации деятельности физкультурно-спортивных организаций по подготовке спортивного резерва</t>
  </si>
  <si>
    <t>Количество физкультурно-спортивных организаций</t>
  </si>
  <si>
    <t>Комплекс процессных мероприятий «Система подготовки спортивного резерва»</t>
  </si>
  <si>
    <t>Дополнительная общеразвивающая программа в области физической культуры и спорта</t>
  </si>
  <si>
    <t>Количество человеко- часов</t>
  </si>
  <si>
    <t>Обеспечение жилыми помещениями в общежитиях</t>
  </si>
  <si>
    <t>Число обучающихся</t>
  </si>
  <si>
    <t>Организация и обеспечение экспериментальной и инновационной деятельности</t>
  </si>
  <si>
    <t xml:space="preserve">Количество экспериментальных (инновационных) площадок    </t>
  </si>
  <si>
    <t>Количество спортсменов</t>
  </si>
  <si>
    <t>Предоставление питания</t>
  </si>
  <si>
    <t>Реализация образовательных программ среднего профессионального образования - программ подготовки специалистов среднего звена. Основное общее образование. Очная</t>
  </si>
  <si>
    <t>Реализация образовательных программ среднего профессионального образования - программ подготовки специалистов среднего звена. Среднее общее образование. Заочная с применением электронного обучения</t>
  </si>
  <si>
    <t>Реализация основных общеобразовательных программ основного общего образования. Интегрированных с дополнительными предпрофессиональными образовательными программамив области физичексой культуры и спорта</t>
  </si>
  <si>
    <t>Содержание детей</t>
  </si>
  <si>
    <t>Комплекс процессных мероприятий «Обеспечение деятельности подведомственных учреждений и иных некоммерческих организаций Красноярского края»</t>
  </si>
  <si>
    <t>Агентство развития малого и среднего предпринимательства Красноярского края</t>
  </si>
  <si>
    <t xml:space="preserve">Предоставление информационной и консультационной поддержки субъектам малого и среднего предпринимательства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</si>
  <si>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Количество субъектов малого предпринимательства, получивших услугу (количество услуг, оказанных субъектам малого предпринимательства)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</si>
  <si>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Количество малых инновационных компаний, созданных с государственной поддержкой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</si>
  <si>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Количество созданных высокопроизводительных рабочих мест субъектами малого и среднего предпринимательства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</si>
  <si>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Объем инвестиций, привлеченных в реализацию инновационных проектов на территории Красноярского края
</t>
  </si>
  <si>
    <t>Предоставление иных мер государственной поддержки субъектам малого и среднего предпринимательства</t>
  </si>
  <si>
    <t>Проведение мероприятий, направленных на привлечение инвестиций, для субъектов малого и среднего предпринимательства, Количество мероприятий</t>
  </si>
  <si>
    <t>Предоставление инжиниринговых услуг субъектам малого и среднего предпринимательства, 
Число человеко-часов</t>
  </si>
  <si>
    <t>2 470</t>
  </si>
  <si>
    <t>Предоставление услуг прототипирования субъектам малого и среднего предпринимательства,
Число человеко-часов</t>
  </si>
  <si>
    <t>Предоставление услуг сертификации, стандартизации, испытаний субъектам малого и среднего предпринимательства, 
Число человеко-часов</t>
  </si>
  <si>
    <t>6 660</t>
  </si>
  <si>
    <t>Количество мероприятий (конкурсов)</t>
  </si>
  <si>
    <t>Количество экспертных заключений</t>
  </si>
  <si>
    <t xml:space="preserve">Проведение экспертизы научных, научно-технических программ и проектов, инновационных проектов по фундаментальным, прикладным научным исследованиям, экспериментальным разработкам при проведении конкурса 
и на всех стадиях реализации таких программ и проектов
</t>
  </si>
  <si>
    <t xml:space="preserve">Организационное и информационное обеспечение проведения конкурсного отбора научных и научно-исследовательских программ и проектов и других научных мероприятий
</t>
  </si>
  <si>
    <t>Министерство здравоохранения Красноярского края</t>
  </si>
  <si>
    <t>Комплекс процессных мероприятий «Реализация государственного задания и социального заказа на оказание услуг (работ)»</t>
  </si>
  <si>
    <t>Услуги по зубному протезированию в виде бесплатного изготовления и ремонта зубных протезов (кроме протезов из драгоценных металлов и металлокерамики)</t>
  </si>
  <si>
    <t>количество человек</t>
  </si>
  <si>
    <t>Работы по профилактике неинфекционных заболеваний, формированию здорового образа жизни и санитарно-гигиеническому просвещению населения, обеспечение мероприятий, направленных на охрану и укрепление здоровья</t>
  </si>
  <si>
    <t>количество работ (экземпляров), ед.</t>
  </si>
  <si>
    <t>121 504</t>
  </si>
  <si>
    <t>количество мероприятий, ед.</t>
  </si>
  <si>
    <t>Организация и проведение консультативных, методических, профилактических и противоэпидемических мероприятий по предупреждению распространения ВИЧ–инфекций</t>
  </si>
  <si>
    <t>количество ВИЧ-инфицированных беременных женщин, находящихся в стационаре, доноров и реципиентов, охваченных эпидемиологическим расследованием, ед</t>
  </si>
  <si>
    <t xml:space="preserve">Медицинская помощь в экстренной форме незастрахованным гражданам в системе обязательного медицинского страхования </t>
  </si>
  <si>
    <t>случай госпитализации, ед.</t>
  </si>
  <si>
    <t>посещения, ед.</t>
  </si>
  <si>
    <t>кол-во вызовов, ед.</t>
  </si>
  <si>
    <t>Оказание паллиативной медицинской помощи</t>
  </si>
  <si>
    <t>койко-день</t>
  </si>
  <si>
    <t>количество посещений, ед.</t>
  </si>
  <si>
    <t>Первичная медико-санитарная помощь, оказываемая при заболеваниях, передаваемых половым путем, туберкулезе, ВИЧ-инфекции и синдроме приобретенного иммунодефицита, психиатрических расстройствах и расстройствах поведения</t>
  </si>
  <si>
    <t>число посещений (профилактических, иных, разовых), ед.</t>
  </si>
  <si>
    <t>число обращений по заболеванию, ед.</t>
  </si>
  <si>
    <t>Первичная медико-санитарная помощь, не включенная в базовую программу ОМС, в части диагностики и лечения по профилю профпатология</t>
  </si>
  <si>
    <t>число посещений, ед.</t>
  </si>
  <si>
    <t>число обращений, ед.</t>
  </si>
  <si>
    <t>Первичная медико-санитарная помощь, не включенная в базовую программу ОМС, в части диагностики и лечения по профилю клиническая лабораторная диагностика</t>
  </si>
  <si>
    <t>количество исследований, ед.</t>
  </si>
  <si>
    <t>Первичная медико-санитарная помощь, не включенная в базовую программу ОМС, в части диагностики и лечения по направлению генетика</t>
  </si>
  <si>
    <t xml:space="preserve">количество исследований, ед. </t>
  </si>
  <si>
    <t>5 550</t>
  </si>
  <si>
    <t>Первичная медико-санитарная помощь, проведение углубленных медицинских обследований спортсменов</t>
  </si>
  <si>
    <t>число спортсменов</t>
  </si>
  <si>
    <t>Медицинское освидетельствование на состояние опьянения (алкогольного, наркотического или иного токсического)</t>
  </si>
  <si>
    <t>кол-во исследований, ед.</t>
  </si>
  <si>
    <t>Специализированная медицинская помощь (за исключением высокотехнологичной медицинской помощи), не включенная в базовую программу ОМС, круглосуточный стационар</t>
  </si>
  <si>
    <t>случаев госпитализаций, ед.</t>
  </si>
  <si>
    <t>Специализированная медицинская помощь (за исключением высокотехнологичной медицинской помощи), не включенная в базовую программу ОМС, дневной стационар</t>
  </si>
  <si>
    <t>случаев лечения, ед.</t>
  </si>
  <si>
    <t>Скорая, в том числе скорая специализированная, медицинская помощь (за исключением санитарно-авиационной эвакуации), не включенная в базовую программу ОМС, а также оказание медицинской помощи при чрезвычайных ситуациях</t>
  </si>
  <si>
    <t>Патологическая анатомия</t>
  </si>
  <si>
    <t>кол-во вскрытий, ед.</t>
  </si>
  <si>
    <t>исследований, ед.</t>
  </si>
  <si>
    <t>Судебно-медицинская экспертиза</t>
  </si>
  <si>
    <t>кол-во экспертиз, ед.</t>
  </si>
  <si>
    <t>54 672</t>
  </si>
  <si>
    <t>Судебно-психиатрическая экспертиза</t>
  </si>
  <si>
    <t>Высокотехнологичная медицинская помощь, не включенная в базовую программу ОМС</t>
  </si>
  <si>
    <t>число пациентов, ед.</t>
  </si>
  <si>
    <t>Организация круглосуточного приема, содержания, выхаживания и воспитания детей</t>
  </si>
  <si>
    <t>Санаторно-курортное лечение (туберкулез)</t>
  </si>
  <si>
    <t>койко-дни</t>
  </si>
  <si>
    <t>53 800</t>
  </si>
  <si>
    <t xml:space="preserve">Медицинская реабилитация при заболеваниях, не входящих в базовую программу ОМС по профилю: психиатрия-наркология </t>
  </si>
  <si>
    <t>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специальностям, требующим углубленной подготовки</t>
  </si>
  <si>
    <t>человеко-часы</t>
  </si>
  <si>
    <t>Обеспечение медицинских организаций, подведомственных исполнительным органам государственной власти Красноярского края, транспортными услугами.</t>
  </si>
  <si>
    <t>машино-часы автомобилей скорой медицинской помощи</t>
  </si>
  <si>
    <t>машино-часы автомобилей санитарного транспорта</t>
  </si>
  <si>
    <t xml:space="preserve">Создание и развитие информационных систем и компонентов информационно-телекоммуникационной инфраструктуры, техническое сопровож­дение и эксплуатация, вывод из эксплуатации информационных систем и компонентов информационно-телекоммуникационной инфраструктуры, ведение информацион­ных ресурсов и баз данных </t>
  </si>
  <si>
    <t>количество информационных ресурсов и баз данных, ед.</t>
  </si>
  <si>
    <t>количество ИС обеспечения специальной деятельности ед.</t>
  </si>
  <si>
    <t>Региональный проект «Развитие системы оказания первичной медико-санитарной помощи»</t>
  </si>
  <si>
    <t xml:space="preserve">Оказание скорой специализированной медицинской помощи, требующей санитарно-авиационной эвакуации </t>
  </si>
  <si>
    <t>1 880</t>
  </si>
  <si>
    <t>количество проведенных медицинских освидетельствований, ед</t>
  </si>
  <si>
    <t>количество конференций, семинаров, акций для целевых  групп  населения и медицинских работников, ед</t>
  </si>
  <si>
    <t>количество койко-дней</t>
  </si>
  <si>
    <t>Государственная программа Красноярского края «Развитие образование»</t>
  </si>
  <si>
    <t>Комплекс процессных мероприятий «Обеспечение доступности и повышение качества профессионального образования»</t>
  </si>
  <si>
    <t>Реализация основных профессиональных образовательных программ среднего профессионального образования – программ подготовки специалистов среднего звена</t>
  </si>
  <si>
    <t>Численность обучающихся (человек)</t>
  </si>
  <si>
    <t>Реализация образовательных программ среднего профессионального образования – программ подготовки специалистов среднего звена</t>
  </si>
  <si>
    <t>Реализация дополнительных предпрофессиональных программ в области искусств</t>
  </si>
  <si>
    <t xml:space="preserve">Количество человеко-часов </t>
  </si>
  <si>
    <t>Реализация основных профессиональных образовательных программ среднего профессионального образования в области искусств, интегрированные с образовательными программами основного общего образования, по укрупненной группе направлений подготовки и специальностей (профессий)</t>
  </si>
  <si>
    <t>Реализация дополнительных общеразвивающих программ</t>
  </si>
  <si>
    <t>Количество человеко-часов (человеко-часов)</t>
  </si>
  <si>
    <t>Число обучающихся (человек)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</si>
  <si>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</t>
  </si>
  <si>
    <t>Министерство образования Красноярского края</t>
  </si>
  <si>
    <t xml:space="preserve">Реализация образовательных программ среднего профессионального образования - программ подготовки специалистов среднего звена </t>
  </si>
  <si>
    <t>Реализация образовательных программ среднего профессионального образования - программ подготовки квалифицирован-ных рабочих, служащих</t>
  </si>
  <si>
    <t>Реализация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</si>
  <si>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Количество мероприятий (единиц)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</si>
  <si>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</si>
  <si>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количество мероприятий (единиц)</t>
  </si>
  <si>
    <t>Комплекс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</t>
  </si>
  <si>
    <t>Организация и проведение официальных физкультурных (физкультурно-оздоровительных) мероприятий</t>
  </si>
  <si>
    <t>Реализация основных  общеобразова-тельных программ среднего общего образования</t>
  </si>
  <si>
    <t>Реализация основных общеобразова-тельных программ основного общего образования</t>
  </si>
  <si>
    <t>Реализация основных общеобразова-тельных программ начального общего образования</t>
  </si>
  <si>
    <t>Реализация основных общеобразова-тельных программ дошкольного образования</t>
  </si>
  <si>
    <t>Присмотр и уход</t>
  </si>
  <si>
    <t>Коррекционно-развивающая, компенсирующая и логопедическая помощь обучающимся</t>
  </si>
  <si>
    <t>Первичная медико-санитарная помощь,не включенная в базовую программу обязательного медицинского страхования</t>
  </si>
  <si>
    <t xml:space="preserve">Число посещений
(условных единиц)
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</si>
  <si>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</si>
  <si>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Реализация адаптированных основных общеобразовательных программ для детей с умственной отсталостью</t>
  </si>
  <si>
    <t>Психолого-медико-педагогическое обследование детей</t>
  </si>
  <si>
    <t>Реализация адаптированных основных общеобразовательных программ начального общего образования</t>
  </si>
  <si>
    <t>Содержание и воспитание детей-сирот и детей, оставшихся  без попечения родителей, детей, находящихся в трудной жизненной ситуации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</si>
  <si>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</si>
  <si>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Спортивная подготовка по олимпийским видам спорта</t>
  </si>
  <si>
    <t>Спортивная подготовка по не олимпийским видам спорта</t>
  </si>
  <si>
    <t>Комплекс процессных мероприятий «Формирование кадрового ресурса отрасли»</t>
  </si>
  <si>
    <t>Реализация дополнительных профессиональных программ профессиональной переподготовки</t>
  </si>
  <si>
    <t>количество формирований (единиц)</t>
  </si>
  <si>
    <t>количество информационных ресурсов и баз данных (единиц)</t>
  </si>
  <si>
    <t>Комплекс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</t>
  </si>
  <si>
    <t>Комплекс процессных мероприятий «Обеспечение отдыха и оздоровления детей»</t>
  </si>
  <si>
    <t>Организация отдыха детей и молодежи</t>
  </si>
  <si>
    <t>Количество человек</t>
  </si>
  <si>
    <t>Комплекс процессных мероприятий «Повышение качества и доступности социальных услуг»</t>
  </si>
  <si>
    <t>Министерство социальной политики Красноярского края</t>
  </si>
  <si>
    <t>Предоставление социального обслуживания в стационарной форме</t>
  </si>
  <si>
    <t>Численность граждан, получивших социальные услуги, человек</t>
  </si>
  <si>
    <t>Предоставление социального обслуживания в полустационарной форме</t>
  </si>
  <si>
    <t>Предоставление социального обслуживания в форме на дому (условие оказания государственной услуги – очно)</t>
  </si>
  <si>
    <t>Предоставление социального обслуживания в форме на дому (условие оказания государственной услуги – заочно)</t>
  </si>
  <si>
    <t>Санаторно-курортное лечение</t>
  </si>
  <si>
    <t>Организация предоставления государственных и муниципальных услуг  в многофункциональных центрах предоставления государственных и муниципальных услуг физическим лицам, в электронной форме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</si>
  <si>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физическим лицам, в бумажной форме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</si>
  <si>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юридическим лицам, в электронной форме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</si>
  <si>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юридическим лицам, в бумажной форме</t>
  </si>
  <si>
    <t>Выполнение многофункциональным центром предоставления государственных и муниципальных услуг иных функций, установленных нормативными правовыми актами и соглашениями о взаимодействии, в электронной форме</t>
  </si>
  <si>
    <t>Количество человек, человек</t>
  </si>
  <si>
    <t>Количество койко-дней, койко-дни</t>
  </si>
  <si>
    <t>Количество услуг (единиц)</t>
  </si>
  <si>
    <t>Количество заявителей, воспользовавшихся работой МФЦ (единиц)</t>
  </si>
  <si>
    <t>Комплекс процессных мероприятий «Доступная среда»</t>
  </si>
  <si>
    <t xml:space="preserve">Министерство спорта Красноярского края </t>
  </si>
  <si>
    <t>Организация и проведение официальных физкультурных (физкультурно-оздоровительных) мероприятий (региональные)</t>
  </si>
  <si>
    <t>Комплекс процессных мероприятий «Формирование и совершенствование системы комплексной реабилитации и абилитации инвалидов, в том числе детей-инвалидов»</t>
  </si>
  <si>
    <t xml:space="preserve">Организация мероприятий по предотвращению негативного  воздействия на окружающую среду
</t>
  </si>
  <si>
    <t>Количество ГТС (проведение мониторинга за состоянием ГТС)</t>
  </si>
  <si>
    <t>Количество ГТС (страхование)</t>
  </si>
  <si>
    <t>Количество ГТС (проект на консервацию/ликвидацию ГТС)</t>
  </si>
  <si>
    <t>Количество ГТС (обеспечение безопасности ГТС)</t>
  </si>
  <si>
    <t>Количество ГТС (разработка типового проекта мониторинга ГТС)</t>
  </si>
  <si>
    <t>Количество ГТС (государственная экспертиза на корректировку проектной документации по капитальный ремонт ГТС пруда Белецкий Ермаковского района)</t>
  </si>
  <si>
    <t>Реализация основных общеобразовательных программ дошкольного образования</t>
  </si>
  <si>
    <t xml:space="preserve">Содержание
муниципальной услуги (работы)
</t>
  </si>
  <si>
    <t>Наименование муниципальной услуги (работы)</t>
  </si>
  <si>
    <t>Не указано
Обучающиеся, за исключением детей с ограниченными возможностями здоровья (ОВЗ) и детей-инвалидов, 
от 1 года до 3 лет</t>
  </si>
  <si>
    <t>Количество обучающихся, чел.</t>
  </si>
  <si>
    <t>Не указано
Обучающиеся, за исключением детей с ограниченными возможностями здоровья (ОВЗ) и детей-инвалидов, 
от 3 до 8 лет</t>
  </si>
  <si>
    <t>Адаптированная образовательная программа
Дети-инвалиды, за исключением детей-инвалидов с нарушением опорно-двигательного аппарата, слепых и слабовидящих (ОВЗ),
Дети-инвалидыот 3 до 8 лет</t>
  </si>
  <si>
    <t>Дети-сироты и дети, оставшиеся без попечения родителей; 
От 1 года до 3 лет;
Группа полного дня</t>
  </si>
  <si>
    <t>Дети-сироты и дети, оставшиеся без попечения родителей; 
От 3 до 8 лет;
Группа полного дня</t>
  </si>
  <si>
    <t>Дети-инвалиды, за исключением детей-инвалидов с нарушением опорно-двигательного аппарата, слепых и слабовидящих (ОВЗ),
Дети-инвалиды от 3 до 8 лет 
Группа полного дня</t>
  </si>
  <si>
    <t>Реализация основных общеобразовательных программ начального общего образования</t>
  </si>
  <si>
    <t>Не указано;
Обучающиеся за исключением обучающихся с ограниченными возможностями (ОВЗ) и детей-инвалидов;
Не указано</t>
  </si>
  <si>
    <t>Адаптированная образовательная программа;
Обучающиеся с ограниченными возможностями (ОВЗ);
В классах</t>
  </si>
  <si>
    <t>Адаптированная образовательная программа;
Дети-инвалиды;
Проходящие обучение по состоянию здоровья на дому</t>
  </si>
  <si>
    <t>Адаптированная образовательная программа; Обучающиеся с ограниченными возможностями здоровья (ОВЗ); 
Не указано</t>
  </si>
  <si>
    <t>Не указано;
Дети-инвалиды
Проходящие обучение по состоянию здоровья на дому</t>
  </si>
  <si>
    <t>Не указано;
Обучающиеся за исключением обучающихся с ограниченными возможностями (ОВЗ) и детей-инвалидов;
Проходящие обучение по состоянию здоровья на дому</t>
  </si>
  <si>
    <t>Адаптированная образовательная программа; Обучающиеся с ограниченными возможностями здоровья (ОВЗ); 
Проходящие обучение по состоянию здоровья на дому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</si>
  <si>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</si>
  <si>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программа; Обучающиеся с ограниченными возможностями (ОВЗ) 
Инклюзивно</t>
  </si>
  <si>
    <t xml:space="preserve">            Муниципальная программа г. Боготола "Развитие образования"</t>
  </si>
  <si>
    <t>Не указано; 
Обучающиеся за исключением обучающихся с ограниченными возможностями (ОВЗ) и детей-инвалидов;
Проходящие обучение по состоянию здоровья на дому</t>
  </si>
  <si>
    <t>Не указано; 
Дети-инвалиды; 
На дому</t>
  </si>
  <si>
    <t>Адаптированная образовательная программа; Дети-инвалиды; 
Проходящие обучение по состоянию здоровья на дому</t>
  </si>
  <si>
    <t>Реализация основных общеобразовательных программ среднего общего образования</t>
  </si>
  <si>
    <t>Не указано; 
Обучающиеся за исключением обучающихся с ограниченными возможностями здоровья (ОВЗ) и детей-инвалидов; 
Не указано</t>
  </si>
  <si>
    <t>Не указано; 
Обучающиеся за исключением обучающихся с ограниченными возможностями здоровья (ОВЗ) и детей-инвалидов; 
Проходящие обучение по состоянию здоровья на дому</t>
  </si>
  <si>
    <t>Не указано; 
Обучающиеся за исключением обучающихся с ограниченными возможностями здоровья (ОВЗ) и детей-инвалидов; 
Не указано;
(заочное обучение)</t>
  </si>
  <si>
    <t>Реализация дополнительных общеразвивающих программ (в школах) по МЗ</t>
  </si>
  <si>
    <t>Реализация дополнительных общеразвивающих программ (в школах) по ПФДО</t>
  </si>
  <si>
    <t>Обучающиеся за исключением обучающихся с ограниченными возможностями здоровья (ОВЗ) и детей-инвалидов; 
Не указано; 
Не указано</t>
  </si>
  <si>
    <t>Количество человеко-часов, человеко-час</t>
  </si>
  <si>
    <t>Количество человеко-часов, 
человеко-час</t>
  </si>
  <si>
    <t>Количество обучающих, получающих питание, 
чел.</t>
  </si>
  <si>
    <t>Реализация дополнительных общеразвивающих программ (в ДДТ)
По МЗ</t>
  </si>
  <si>
    <t>Реализация дополнительных общеразвивающих программ (в ДДТ)
По ПФДО</t>
  </si>
  <si>
    <t>Организация и проведение олимпиад, конкурсов, мероприятий</t>
  </si>
  <si>
    <t>Не указано; 
Не указано;
В каникулярное время с дневным пребыванием</t>
  </si>
  <si>
    <t>Количество обучающихся, охваченных отдыхом, чел.</t>
  </si>
  <si>
    <t>Количество мероприятий, ед.</t>
  </si>
  <si>
    <t>Количество участников мероприятий, чел.</t>
  </si>
  <si>
    <t>В интересах общества</t>
  </si>
  <si>
    <t xml:space="preserve">           Муниципальная программа г. Боготола "Развитие культуры"</t>
  </si>
  <si>
    <t>Реализация дополнительных общеобразовательных предпрофессиональных программ в области искусств</t>
  </si>
  <si>
    <t>Живопись  
Очная
МБУ ДО ДШИ</t>
  </si>
  <si>
    <t>Количество обучающихся,  
человеко-час</t>
  </si>
  <si>
    <t>Народные инструменты  Очная
МБУ ДО ДШИ</t>
  </si>
  <si>
    <t>Фортепиано  
Очная
МБУ ДО ДШИ</t>
  </si>
  <si>
    <t>Духовые и ударные инструменты 
Очная
МБУ ДО ДШИ</t>
  </si>
  <si>
    <t>Хореографическое творчество 
Очная
МБУ ДО ДШИ</t>
  </si>
  <si>
    <t>Реализация дополнительных общеобразовательных общеразвивающих программ для контингента, принятого на обучение до 01.09.2016 г.</t>
  </si>
  <si>
    <t>45/
24 570</t>
  </si>
  <si>
    <t>41/
22 386</t>
  </si>
  <si>
    <t>Хоровое пение 
Очная 
МБУ ДО ДМШ</t>
  </si>
  <si>
    <t xml:space="preserve">Дополнительная общеобразовательная общеразвивающая программа  
Очная 
МБУ ДО ДМШ </t>
  </si>
  <si>
    <t>Дополнительная общеобразовательная общеразвивающая программа 
Очная
МБУ ДО ДШИ</t>
  </si>
  <si>
    <t>Показ музейных предметов в стационарных условиях</t>
  </si>
  <si>
    <t>Показ музейных предметов</t>
  </si>
  <si>
    <t>Библиотечное, библиографическое и информационное обслуживание пользователей библиотеки</t>
  </si>
  <si>
    <t>Библиотечное, библиографическое и информационное обслуживание пользователей библиотеки  в стационарных условиях</t>
  </si>
  <si>
    <t>Количество
посещений, (единиц)</t>
  </si>
  <si>
    <t>Количество предметов, (единиц)</t>
  </si>
  <si>
    <t>Количество выставок, (единиц)</t>
  </si>
  <si>
    <t>Число посетителей, (человек)</t>
  </si>
  <si>
    <t>Организация и проведение мероприятий</t>
  </si>
  <si>
    <t>Виды мероприятий - культурно-массовых (иной деятельности, в результате которой сохраняются, создаются, распространяются и осваиваются культурные ценности)</t>
  </si>
  <si>
    <t>Формы обслуживания - с учетом всех форм</t>
  </si>
  <si>
    <t>Организация и проведение культурно – массовых мероприятий</t>
  </si>
  <si>
    <t>В стационарных условиях</t>
  </si>
  <si>
    <t xml:space="preserve">            Муниципальная программа г. Боготола "Развитие физической культуры, спорта и туризма"</t>
  </si>
  <si>
    <t>Участие в организации официальных спортивных мероприятий</t>
  </si>
  <si>
    <t>Футбол – этап начальной подготовки</t>
  </si>
  <si>
    <t>Легкая атлетика - этап начальной подготовки</t>
  </si>
  <si>
    <t>Баскетбол - этап начальной подготовки</t>
  </si>
  <si>
    <t>Число лиц, прошедших спортивную подготовку на этапах спортивной подготовки, (человек)</t>
  </si>
  <si>
    <t>Пауэрлифтинг - этап совершенствования спортивного мастерства</t>
  </si>
  <si>
    <t>Рукопашный бой - этап начальной подготовки</t>
  </si>
  <si>
    <t xml:space="preserve">Реализация дополнительных общеразвивающих программ </t>
  </si>
  <si>
    <t xml:space="preserve">           Муниципальная программа г. Боготола "Молодежь"</t>
  </si>
  <si>
    <t>Организация досуга детей, подростков и молодежи</t>
  </si>
  <si>
    <t>Культурно-досуговые, спортивно-массовые мероприятия</t>
  </si>
  <si>
    <t>Количество разработанных документов, единиц</t>
  </si>
  <si>
    <t>Муниципальные</t>
  </si>
  <si>
    <t>Адаптированная образовательная программа
Обучающиеся с ограниченными 
возможностями здоровья (ОВЗ) 
от 5 лет</t>
  </si>
  <si>
    <t>Количество мероприятий, (единиц)</t>
  </si>
  <si>
    <t>Количество занятий, (штук)</t>
  </si>
  <si>
    <t>Количество участников мероприятий, (человек)</t>
  </si>
  <si>
    <t>Число зрителей, (человек)</t>
  </si>
  <si>
    <t>Количество посетителей, (человек)</t>
  </si>
  <si>
    <t>№п/п</t>
  </si>
  <si>
    <t>Содержание</t>
  </si>
  <si>
    <t>муниципальной услуги (работы)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</si>
  <si>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</si>
  <si>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муниципальной программы</t>
  </si>
  <si>
    <t>текущий финансовый год</t>
  </si>
  <si>
    <t>1-й год планового периода</t>
  </si>
  <si>
    <t>2-й год планового периода</t>
  </si>
  <si>
    <t>Не указано</t>
  </si>
  <si>
    <t xml:space="preserve">Обучающиеся, за исключением детей с ограниченными возможностями здоровья (ОВЗ) и детей-инвалидов, </t>
  </si>
  <si>
    <t>от 1 года до 3 лет</t>
  </si>
  <si>
    <t>Расходы городского бюджета на оказание (выполнение) муниципальной услуги (работы) 1, тыс. руб.</t>
  </si>
  <si>
    <t>от 3 до 8 лет</t>
  </si>
  <si>
    <t>Расходы городского бюджета на оказание (выполнение) муниципальной услуги (работы) 2, тыс. руб.</t>
  </si>
  <si>
    <t>Реализация основных общеобразовательных программ дошкольногообразования</t>
  </si>
  <si>
    <t>Адаптированная образовательная программа</t>
  </si>
  <si>
    <t xml:space="preserve">Обучающиеся с ограниченными возможностями здоровья (ОВЗ) </t>
  </si>
  <si>
    <t>от 5 лет</t>
  </si>
  <si>
    <t>Расходы городского бюджета на оказание (выполнение) муниципальной услуги (работы) 3, тыс. руб.</t>
  </si>
  <si>
    <t>Дети-инвалиды, за исключением детей-инвалидов с нарушением опорно-двигательного аппарата, слепых и слабовидящих (ОВЗ),</t>
  </si>
  <si>
    <t>Дети-инвалидыот 3 до 8 лет</t>
  </si>
  <si>
    <t>Расходы городского бюджета на оказание (выполнение) муниципальной услуги (работы) 4, тыс. руб.</t>
  </si>
  <si>
    <t>Расходы городского бюджета на оказание (выполнение) муниципальной услуги (работы) 5, тыс. руб.</t>
  </si>
  <si>
    <t>Расходы городского бюджета на оказание (выполнение) муниципальной услуги (работы) 6 тыс. руб.</t>
  </si>
  <si>
    <t xml:space="preserve">Дети-сироты и дети, оставшиеся без попечения родителей; </t>
  </si>
  <si>
    <t>От 1 года до 3 лет;</t>
  </si>
  <si>
    <t>Группа полного дня</t>
  </si>
  <si>
    <t>Расходы городского бюджета на оказание (выполнение) муниципальной услуги (работы) 7, тыс. руб.</t>
  </si>
  <si>
    <t>От 3 до 8 лет;</t>
  </si>
  <si>
    <t>Расходы городского бюджета на оказание (выполнение) муниципальной услуги (работы) 8, тыс. руб.</t>
  </si>
  <si>
    <t>Дети-инвалидыот 3 до 8 летГруппа полного дня</t>
  </si>
  <si>
    <t>Расходы городского бюджета на оказание (выполнение) муниципальной услуги (работы) 9, тыс. руб.</t>
  </si>
  <si>
    <t>Не указано;</t>
  </si>
  <si>
    <t>Обучающиеся за исключением обучающихся с ограниченными возможностями (ОВЗ) и детей-инвалидов;</t>
  </si>
  <si>
    <t>Расходы городского бюджета на оказание (выполнение) муниципальной услуги (работы) 10, тыс. руб.</t>
  </si>
  <si>
    <t>Адаптированная образовательная программа;</t>
  </si>
  <si>
    <t>Обучающиеся с ограниченными возможностями (ОВЗ);</t>
  </si>
  <si>
    <t>В классах</t>
  </si>
  <si>
    <t>Расходы городского бюджета на оказание (выполнение) муниципальной услуги (работы) 11, тыс. руб.</t>
  </si>
  <si>
    <t>Дети-инвалиды;</t>
  </si>
  <si>
    <t>Проходящие обучение по состоянию здоровья на дому</t>
  </si>
  <si>
    <t>Расходы городского бюджета на оказание (выполнение) муниципальной услуги (работы) 12, тыс. руб.</t>
  </si>
  <si>
    <t xml:space="preserve">Адаптированная образовательная программа; Обучающиеся с ограниченными возможностями здоровья (ОВЗ); </t>
  </si>
  <si>
    <t>Расходы городского бюджета на оказание (выполнение) муниципальной услуги (работы) 13, тыс. руб.</t>
  </si>
  <si>
    <t>Дети-инвалиды</t>
  </si>
  <si>
    <t>Расходы городского бюджета на оказание (выполнение) муниципальной услуги (работы) 14, тыс. руб.</t>
  </si>
  <si>
    <t>Расходы городского бюджета на оказание (выполнение) муниципальной услуги (работы) 15, тыс. руб.</t>
  </si>
  <si>
    <t>Расходы городского бюджета на оказание (выполнение) муниципальной услуги (работы) 16, тыс. руб.</t>
  </si>
  <si>
    <t>Расходы городского бюджета на оказание (выполнение) муниципальной услуги (работы) 17, тыс. руб.</t>
  </si>
  <si>
    <t xml:space="preserve">Адаптированная образовательная программа; Обучающиеся с ограниченными возможностями (ОВЗ) </t>
  </si>
  <si>
    <t>Инклюзивно</t>
  </si>
  <si>
    <t>Расходы городского бюджета на оказание (выполнение) муниципальной услуги (работы) 18, тыс. руб.</t>
  </si>
  <si>
    <t xml:space="preserve">Не указано; </t>
  </si>
  <si>
    <t>Расходы городского бюджета на оказание (выполнение) муниципальной услуги (работы) 19, тыс. руб.</t>
  </si>
  <si>
    <t xml:space="preserve">Дети-инвалиды; </t>
  </si>
  <si>
    <t>На дому</t>
  </si>
  <si>
    <t>Расходы городского бюджета на оказание (выполнение) муниципальной услуги (работы) 20, тыс. руб.</t>
  </si>
  <si>
    <t xml:space="preserve">Адаптированная образовательная программа; Дети-инвалиды; </t>
  </si>
  <si>
    <t>Расходы городского бюджета на оказание (выполнение) муниципальной услуги (работы) 21, тыс. руб.</t>
  </si>
  <si>
    <t>Расходы городского бюджета на оказание (выполнение) муниципальной услуги (работы) 22, тыс. руб.</t>
  </si>
  <si>
    <t>Расходы городского бюджета на оказание (выполнение) муниципальной услуги (работы) 23, тыс. руб.</t>
  </si>
  <si>
    <t xml:space="preserve">Обучающиеся за исключением обучающихся с ограниченными возможностями здоровья (ОВЗ) и детей-инвалидов; </t>
  </si>
  <si>
    <t>Расходы городского бюджета на оказание (выполнение) муниципальной услуги (работы) 24, тыс. руб.</t>
  </si>
  <si>
    <t>Расходы городского бюджета на оказание (выполнение) муниципальной услуги (работы) 25, тыс. руб.</t>
  </si>
  <si>
    <t>(заочное обучение)</t>
  </si>
  <si>
    <t>Расходы городского бюджета на оказание (выполнение) муниципальной услуги (работы) 26, тыс. руб.</t>
  </si>
  <si>
    <r>
      <t xml:space="preserve">Реализация дополнительных общеразвивающих программ (в школах) </t>
    </r>
    <r>
      <rPr>
        <sz val="10"/>
        <color rgb="FFFF0000"/>
        <rFont val="Times New Roman"/>
        <family val="1"/>
        <charset val="204"/>
      </rPr>
      <t>по МЗ</t>
    </r>
  </si>
  <si>
    <t>Расходы городского бюджета на оказание (выполнение) муниципальной услуги (работы) 27, тыс. руб.</t>
  </si>
  <si>
    <t xml:space="preserve">Количество обучающих, получающих питание, </t>
  </si>
  <si>
    <t>чел.</t>
  </si>
  <si>
    <t>Расходы городского бюджета на оказание (выполнение) муниципальной услуги (работы) 28, тыс. руб.</t>
  </si>
  <si>
    <t xml:space="preserve"> </t>
  </si>
  <si>
    <t>В каникулярное время с дневным пребыванием</t>
  </si>
  <si>
    <t>Расходы городского бюджета на оказание (выполнение) муниципальной услуги (работы) 29, тыс. руб.</t>
  </si>
  <si>
    <t>Реализация дополнительных общеразвивающих программ (в ДДТ)</t>
  </si>
  <si>
    <t>По МЗ</t>
  </si>
  <si>
    <t>Расходы городского бюджета на оказание (выполнение) муниципальной услуги (работы)30, тыс. руб.</t>
  </si>
  <si>
    <t>По ПФДО</t>
  </si>
  <si>
    <t>Расходы городского бюджета на оказание (выполнение) муниципальной услуги (работы) 31, тыс. руб.</t>
  </si>
  <si>
    <t>Расходы городского бюджета на оказание (выполнение) муниципальной услуги (работы) 32, тыс. руб.</t>
  </si>
  <si>
    <t>На проведение мероприятий</t>
  </si>
  <si>
    <t>На поощрение участников мероприятий</t>
  </si>
  <si>
    <t>Количество разработанных документов, ед.</t>
  </si>
  <si>
    <t>Расходы городского бюджета на оказание (выполнение) муниципальной услуги (работы) 33, тыс. руб.</t>
  </si>
  <si>
    <t>На разработку документов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</si>
  <si>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</si>
  <si>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Количество
документов, (единиц)</t>
  </si>
  <si>
    <t>2027 год</t>
  </si>
  <si>
    <t>180/
75 192</t>
  </si>
  <si>
    <t>177/
73 164</t>
  </si>
  <si>
    <t>186/
76 726</t>
  </si>
  <si>
    <t>180/
28 080</t>
  </si>
  <si>
    <t>181/
28 236</t>
  </si>
  <si>
    <t>150/
23 400</t>
  </si>
  <si>
    <t>137/
92 612</t>
  </si>
  <si>
    <t>138/
93 288</t>
  </si>
  <si>
    <t>30/
16 380</t>
  </si>
  <si>
    <t>31/
16 926</t>
  </si>
  <si>
    <t>46/
25 116</t>
  </si>
  <si>
    <t>47/
25 662</t>
  </si>
  <si>
    <t>42/
22 932</t>
  </si>
  <si>
    <t>86/
62 608</t>
  </si>
  <si>
    <t>102/
21 216</t>
  </si>
  <si>
    <t>Футбол - тренировочный этап (этап спортивной специализации)</t>
  </si>
  <si>
    <t>Спортивная полготовка по не олимпийским видам спорта</t>
  </si>
  <si>
    <t>Пауэрлифтинг - тренировочный этап (этап спортивной специализации)</t>
  </si>
  <si>
    <t>Всестилевое каратэ - тренировочный этап (этап спортивной специализации)</t>
  </si>
  <si>
    <t>Легкая атлетика - тренировочный этап (этап спортивной специализации)</t>
  </si>
  <si>
    <t>Баскетбол - тренировочный этап (этап спортивной специализации)</t>
  </si>
  <si>
    <t>Волейбол - этап начальной подготовки</t>
  </si>
  <si>
    <t>Волейбол - тренировочный этап (этап спортивной специализации)</t>
  </si>
  <si>
    <t>Муниципальный уровень соревнований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</si>
  <si>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ГТО)</t>
  </si>
  <si>
    <t xml:space="preserve">Региональный уровень </t>
  </si>
  <si>
    <t>Количество человеко/час</t>
  </si>
  <si>
    <t>Количество мероприятий, (штук)</t>
  </si>
  <si>
    <t>Организация физкультурно-оздоровительной работы по месту жительства граждан</t>
  </si>
  <si>
    <t>МБУ "ФОЦ Здрава"</t>
  </si>
  <si>
    <t>МБУ ДО "Спортивная школа"</t>
  </si>
  <si>
    <t>Количество договоров, (единиц)</t>
  </si>
  <si>
    <t xml:space="preserve">МБУ ДО "Спортивная школа" </t>
  </si>
  <si>
    <t>Информация по субсидиям на финансовое обеспечение выполнения муниципальных заданий на 2025 год и плановый период 2026–2027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</si>
</sst>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#\ ###\ ###\ ##0.0#;[Red]\-#\ ###\ ##0.0#"/>
    <numFmt numFmtId="166" formatCode="_-* #,##0\ _₽_-;\-* #,##0\ _₽_-;_-* &quot;-&quot;??\ _₽_-;_-@_-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 Cyr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43" fontId="6" fillId="0" borderId="0" applyFont="0" applyFill="0" applyBorder="0" applyAlignment="0" applyProtection="0"/>
    <xf numFmtId="0" fontId="8" fillId="0" borderId="0"/>
  </cellStyleXfs>
  <cellXfs count="28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165" fontId="4" fillId="0" borderId="2" xfId="0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4" fillId="2" borderId="0" xfId="0" applyFont="1" applyFill="1"/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166" fontId="1" fillId="0" borderId="1" xfId="2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7" fontId="1" fillId="0" borderId="1" xfId="2" applyNumberFormat="1" applyFont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2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/>
    <xf numFmtId="0" fontId="1" fillId="2" borderId="0" xfId="0" applyFont="1" applyFill="1"/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top" wrapText="1"/>
    </xf>
    <xf numFmtId="0" fontId="4" fillId="0" borderId="1" xfId="0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/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/>
    <xf numFmtId="164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/>
    </xf>
    <xf numFmtId="164" fontId="10" fillId="2" borderId="1" xfId="0" applyNumberFormat="1" applyFont="1" applyFill="1" applyBorder="1" applyAlignment="1">
      <alignment horizontal="right" vertical="center"/>
    </xf>
    <xf numFmtId="166" fontId="9" fillId="0" borderId="1" xfId="2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/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4" fontId="0" fillId="0" borderId="0" xfId="0" applyNumberFormat="1"/>
    <xf numFmtId="4" fontId="15" fillId="0" borderId="14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7" fillId="0" borderId="1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justify" vertical="center" wrapText="1"/>
    </xf>
    <xf numFmtId="0" fontId="16" fillId="0" borderId="14" xfId="0" applyFont="1" applyBorder="1" applyAlignment="1">
      <alignment horizontal="justify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top" wrapText="1"/>
    </xf>
    <xf numFmtId="0" fontId="16" fillId="3" borderId="14" xfId="0" applyFont="1" applyFill="1" applyBorder="1" applyAlignment="1">
      <alignment vertical="center" wrapText="1"/>
    </xf>
    <xf numFmtId="4" fontId="15" fillId="3" borderId="14" xfId="0" applyNumberFormat="1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horizontal="justify" vertical="center" wrapText="1"/>
    </xf>
    <xf numFmtId="0" fontId="0" fillId="3" borderId="14" xfId="0" applyFill="1" applyBorder="1" applyAlignment="1">
      <alignment vertical="top" wrapText="1"/>
    </xf>
    <xf numFmtId="0" fontId="16" fillId="3" borderId="14" xfId="0" applyFont="1" applyFill="1" applyBorder="1" applyAlignment="1">
      <alignment horizontal="justify" vertical="center" wrapText="1"/>
    </xf>
    <xf numFmtId="0" fontId="16" fillId="3" borderId="10" xfId="0" applyFont="1" applyFill="1" applyBorder="1" applyAlignment="1">
      <alignment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/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vertical="center" wrapText="1"/>
    </xf>
    <xf numFmtId="164" fontId="1" fillId="0" borderId="7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 wrapText="1"/>
    </xf>
    <xf numFmtId="0" fontId="4" fillId="2" borderId="7" xfId="0" applyNumberFormat="1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0" fontId="4" fillId="0" borderId="5" xfId="3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4" fillId="0" borderId="6" xfId="3" applyFont="1" applyBorder="1" applyAlignment="1">
      <alignment horizontal="center" vertical="top" wrapText="1"/>
    </xf>
    <xf numFmtId="0" fontId="4" fillId="0" borderId="5" xfId="3" applyFont="1" applyBorder="1" applyAlignment="1">
      <alignment horizontal="left" vertical="top" wrapText="1"/>
    </xf>
    <xf numFmtId="0" fontId="4" fillId="0" borderId="6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6" xfId="0" applyNumberFormat="1" applyFont="1" applyFill="1" applyBorder="1" applyAlignment="1">
      <alignment horizontal="right" vertical="center" wrapText="1"/>
    </xf>
    <xf numFmtId="164" fontId="11" fillId="0" borderId="7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6" fillId="3" borderId="8" xfId="0" applyFont="1" applyFill="1" applyBorder="1" applyAlignment="1">
      <alignment vertical="center" wrapText="1"/>
    </xf>
    <xf numFmtId="0" fontId="16" fillId="3" borderId="9" xfId="0" applyFont="1" applyFill="1" applyBorder="1" applyAlignment="1">
      <alignment vertical="center" wrapText="1"/>
    </xf>
    <xf numFmtId="0" fontId="16" fillId="3" borderId="10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horizontal="justify" vertical="center" wrapText="1"/>
    </xf>
    <xf numFmtId="0" fontId="16" fillId="3" borderId="10" xfId="0" applyFont="1" applyFill="1" applyBorder="1" applyAlignment="1">
      <alignment horizontal="justify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3" fontId="17" fillId="3" borderId="8" xfId="0" applyNumberFormat="1" applyFont="1" applyFill="1" applyBorder="1" applyAlignment="1">
      <alignment horizontal="center" vertical="center" wrapText="1"/>
    </xf>
    <xf numFmtId="3" fontId="17" fillId="3" borderId="9" xfId="0" applyNumberFormat="1" applyFont="1" applyFill="1" applyBorder="1" applyAlignment="1">
      <alignment horizontal="center" vertical="center" wrapText="1"/>
    </xf>
    <xf numFmtId="3" fontId="17" fillId="3" borderId="10" xfId="0" applyNumberFormat="1" applyFont="1" applyFill="1" applyBorder="1" applyAlignment="1">
      <alignment horizontal="center" vertical="center" wrapText="1"/>
    </xf>
    <xf numFmtId="4" fontId="15" fillId="3" borderId="8" xfId="0" applyNumberFormat="1" applyFont="1" applyFill="1" applyBorder="1" applyAlignment="1">
      <alignment horizontal="center" vertical="center" wrapText="1"/>
    </xf>
    <xf numFmtId="4" fontId="15" fillId="3" borderId="10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10" xfId="0" applyFont="1" applyBorder="1" applyAlignment="1">
      <alignment horizontal="justify" vertical="center" wrapText="1"/>
    </xf>
    <xf numFmtId="3" fontId="15" fillId="0" borderId="8" xfId="0" applyNumberFormat="1" applyFont="1" applyBorder="1" applyAlignment="1">
      <alignment horizontal="center" vertical="center" wrapText="1"/>
    </xf>
    <xf numFmtId="3" fontId="15" fillId="0" borderId="9" xfId="0" applyNumberFormat="1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NumberFormat="1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164" fontId="14" fillId="0" borderId="1" xfId="0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3"/>
    <cellStyle name="Обычный 4" xfId="1"/>
    <cellStyle name="Финансовый" xfId="2" builtinId="3"/>
  </cellStyles>
  <dxfs count="0"/>
  <tableStyles count="0" defaultTableStyle="TableStyleMedium2" defaultPivotStyle="PivotStyleLight16"/>
  <colors>
    <mruColors>
      <color rgb="FFEBE1FF"/>
      <color rgb="FFFA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1"/>
  <sheetViews>
    <sheetView view="pageBreakPreview" zoomScale="70" zoomScaleNormal="100" zoomScaleSheetLayoutView="70" workbookViewId="0">
      <selection activeCell="B15" sqref="B15:B17"/>
    </sheetView>
  </sheetViews>
  <sheetFormatPr defaultRowHeight="18.75" x14ac:dyDescent="0.3"/>
  <cols>
    <col min="1" max="1" width="7.42578125" style="1" customWidth="1"/>
    <col min="2" max="2" width="68.140625" style="1" customWidth="1"/>
    <col min="3" max="3" width="36.140625" style="1" customWidth="1"/>
    <col min="4" max="5" width="22" style="1" customWidth="1"/>
    <col min="6" max="6" width="20.42578125" style="1" customWidth="1"/>
    <col min="7" max="7" width="22.28515625" style="1" customWidth="1"/>
    <col min="8" max="8" width="23" style="1" customWidth="1"/>
    <col min="9" max="9" width="19.7109375" style="1" customWidth="1"/>
    <col min="10" max="16384" width="9.140625" style="1"/>
  </cols>
  <sheetData>
    <row r="1" spans="1:12" x14ac:dyDescent="0.3">
      <c r="H1" s="34"/>
      <c r="I1" s="3" t="s">
        <v>7</v>
      </c>
      <c r="L1" s="29"/>
    </row>
    <row r="2" spans="1:12" x14ac:dyDescent="0.3">
      <c r="H2" s="165" t="s">
        <v>8</v>
      </c>
      <c r="I2" s="165"/>
    </row>
    <row r="4" spans="1:12" ht="22.5" customHeight="1" x14ac:dyDescent="0.3">
      <c r="A4" s="164" t="s">
        <v>24</v>
      </c>
      <c r="B4" s="164"/>
      <c r="C4" s="164"/>
      <c r="D4" s="164"/>
      <c r="E4" s="164"/>
      <c r="F4" s="164"/>
      <c r="G4" s="164"/>
      <c r="H4" s="164"/>
      <c r="I4" s="164"/>
    </row>
    <row r="6" spans="1:12" ht="39.75" customHeight="1" x14ac:dyDescent="0.3">
      <c r="A6" s="137" t="s">
        <v>0</v>
      </c>
      <c r="B6" s="137" t="s">
        <v>9</v>
      </c>
      <c r="C6" s="137" t="s">
        <v>1</v>
      </c>
      <c r="D6" s="137" t="s">
        <v>5</v>
      </c>
      <c r="E6" s="137"/>
      <c r="F6" s="137"/>
      <c r="G6" s="137" t="s">
        <v>6</v>
      </c>
      <c r="H6" s="137"/>
      <c r="I6" s="137"/>
    </row>
    <row r="7" spans="1:12" ht="29.25" customHeight="1" x14ac:dyDescent="0.3">
      <c r="A7" s="137"/>
      <c r="B7" s="137"/>
      <c r="C7" s="137"/>
      <c r="D7" s="31" t="s">
        <v>2</v>
      </c>
      <c r="E7" s="31" t="s">
        <v>3</v>
      </c>
      <c r="F7" s="31" t="s">
        <v>4</v>
      </c>
      <c r="G7" s="31" t="s">
        <v>2</v>
      </c>
      <c r="H7" s="31" t="s">
        <v>3</v>
      </c>
      <c r="I7" s="31" t="s">
        <v>4</v>
      </c>
    </row>
    <row r="8" spans="1:12" ht="19.5" customHeight="1" x14ac:dyDescent="0.3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</row>
    <row r="9" spans="1:12" x14ac:dyDescent="0.3">
      <c r="A9" s="156" t="s">
        <v>10</v>
      </c>
      <c r="B9" s="157"/>
      <c r="C9" s="157"/>
      <c r="D9" s="157"/>
      <c r="E9" s="157"/>
      <c r="F9" s="158"/>
      <c r="G9" s="28">
        <f>G10+G48</f>
        <v>12284774.800000003</v>
      </c>
      <c r="H9" s="28">
        <f>H10+H48</f>
        <v>12112871.500000002</v>
      </c>
      <c r="I9" s="28">
        <f>I10+I48</f>
        <v>12012561.700000001</v>
      </c>
    </row>
    <row r="10" spans="1:12" ht="18.75" customHeight="1" x14ac:dyDescent="0.3">
      <c r="A10" s="134" t="s">
        <v>337</v>
      </c>
      <c r="B10" s="135"/>
      <c r="C10" s="135"/>
      <c r="D10" s="135"/>
      <c r="E10" s="135"/>
      <c r="F10" s="136"/>
      <c r="G10" s="64">
        <f>SUM(G12:G47)</f>
        <v>11178432.500000002</v>
      </c>
      <c r="H10" s="64">
        <f t="shared" ref="H10:I10" si="0">SUM(H12:H47)</f>
        <v>11006529.200000001</v>
      </c>
      <c r="I10" s="64">
        <f t="shared" si="0"/>
        <v>10906219.4</v>
      </c>
    </row>
    <row r="11" spans="1:12" ht="18.75" customHeight="1" x14ac:dyDescent="0.3">
      <c r="A11" s="131" t="s">
        <v>336</v>
      </c>
      <c r="B11" s="132"/>
      <c r="C11" s="132"/>
      <c r="D11" s="132"/>
      <c r="E11" s="132"/>
      <c r="F11" s="133"/>
      <c r="G11" s="2"/>
      <c r="H11" s="2"/>
      <c r="I11" s="2"/>
    </row>
    <row r="12" spans="1:12" ht="75" x14ac:dyDescent="0.3">
      <c r="A12" s="31">
        <v>1</v>
      </c>
      <c r="B12" s="35" t="s">
        <v>338</v>
      </c>
      <c r="C12" s="31" t="s">
        <v>339</v>
      </c>
      <c r="D12" s="4">
        <v>6408</v>
      </c>
      <c r="E12" s="4">
        <v>6408</v>
      </c>
      <c r="F12" s="4">
        <v>6408</v>
      </c>
      <c r="G12" s="60">
        <v>213457.8</v>
      </c>
      <c r="H12" s="60">
        <v>213457.8</v>
      </c>
      <c r="I12" s="60">
        <v>213457.8</v>
      </c>
    </row>
    <row r="13" spans="1:12" ht="59.25" customHeight="1" x14ac:dyDescent="0.3">
      <c r="A13" s="137">
        <v>2</v>
      </c>
      <c r="B13" s="138" t="s">
        <v>340</v>
      </c>
      <c r="C13" s="31" t="s">
        <v>341</v>
      </c>
      <c r="D13" s="31" t="s">
        <v>342</v>
      </c>
      <c r="E13" s="31" t="s">
        <v>342</v>
      </c>
      <c r="F13" s="31" t="s">
        <v>342</v>
      </c>
      <c r="G13" s="139">
        <v>32375.8</v>
      </c>
      <c r="H13" s="139">
        <v>32375.8</v>
      </c>
      <c r="I13" s="139">
        <v>32375.8</v>
      </c>
    </row>
    <row r="14" spans="1:12" ht="46.5" customHeight="1" x14ac:dyDescent="0.3">
      <c r="A14" s="137"/>
      <c r="B14" s="138"/>
      <c r="C14" s="31" t="s">
        <v>343</v>
      </c>
      <c r="D14" s="31">
        <v>180</v>
      </c>
      <c r="E14" s="31">
        <v>180</v>
      </c>
      <c r="F14" s="31">
        <v>180</v>
      </c>
      <c r="G14" s="139"/>
      <c r="H14" s="139"/>
      <c r="I14" s="139"/>
    </row>
    <row r="15" spans="1:12" ht="143.25" customHeight="1" x14ac:dyDescent="0.3">
      <c r="A15" s="166">
        <v>3</v>
      </c>
      <c r="B15" s="138" t="s">
        <v>344</v>
      </c>
      <c r="C15" s="31" t="s">
        <v>345</v>
      </c>
      <c r="D15" s="31">
        <v>770</v>
      </c>
      <c r="E15" s="31">
        <v>770</v>
      </c>
      <c r="F15" s="31">
        <v>770</v>
      </c>
      <c r="G15" s="144">
        <v>32663.8</v>
      </c>
      <c r="H15" s="144">
        <v>32663.8</v>
      </c>
      <c r="I15" s="144">
        <v>32663.8</v>
      </c>
    </row>
    <row r="16" spans="1:12" ht="56.25" x14ac:dyDescent="0.3">
      <c r="A16" s="167"/>
      <c r="B16" s="138"/>
      <c r="C16" s="31" t="s">
        <v>398</v>
      </c>
      <c r="D16" s="4">
        <v>8500</v>
      </c>
      <c r="E16" s="4">
        <v>8500</v>
      </c>
      <c r="F16" s="4">
        <v>8500</v>
      </c>
      <c r="G16" s="170"/>
      <c r="H16" s="170"/>
      <c r="I16" s="170"/>
    </row>
    <row r="17" spans="1:9" ht="75" x14ac:dyDescent="0.3">
      <c r="A17" s="168"/>
      <c r="B17" s="138"/>
      <c r="C17" s="31" t="s">
        <v>399</v>
      </c>
      <c r="D17" s="31">
        <v>250</v>
      </c>
      <c r="E17" s="31">
        <v>250</v>
      </c>
      <c r="F17" s="31">
        <v>250</v>
      </c>
      <c r="G17" s="145"/>
      <c r="H17" s="145"/>
      <c r="I17" s="145"/>
    </row>
    <row r="18" spans="1:9" x14ac:dyDescent="0.3">
      <c r="A18" s="137">
        <v>4</v>
      </c>
      <c r="B18" s="138" t="s">
        <v>346</v>
      </c>
      <c r="C18" s="31" t="s">
        <v>347</v>
      </c>
      <c r="D18" s="4">
        <v>4142</v>
      </c>
      <c r="E18" s="4">
        <v>4142</v>
      </c>
      <c r="F18" s="4">
        <v>4142</v>
      </c>
      <c r="G18" s="60">
        <v>265434.5</v>
      </c>
      <c r="H18" s="60">
        <v>184242.8</v>
      </c>
      <c r="I18" s="60">
        <v>184242.8</v>
      </c>
    </row>
    <row r="19" spans="1:9" x14ac:dyDescent="0.3">
      <c r="A19" s="137"/>
      <c r="B19" s="138"/>
      <c r="C19" s="31" t="s">
        <v>348</v>
      </c>
      <c r="D19" s="4">
        <v>12086</v>
      </c>
      <c r="E19" s="4">
        <v>12086</v>
      </c>
      <c r="F19" s="4">
        <v>12086</v>
      </c>
      <c r="G19" s="60">
        <v>21132.6</v>
      </c>
      <c r="H19" s="60">
        <v>12842.1</v>
      </c>
      <c r="I19" s="60">
        <v>12842.1</v>
      </c>
    </row>
    <row r="20" spans="1:9" x14ac:dyDescent="0.3">
      <c r="A20" s="137"/>
      <c r="B20" s="138"/>
      <c r="C20" s="31" t="s">
        <v>349</v>
      </c>
      <c r="D20" s="4">
        <v>30438</v>
      </c>
      <c r="E20" s="4">
        <v>36322</v>
      </c>
      <c r="F20" s="4">
        <v>36322</v>
      </c>
      <c r="G20" s="60">
        <v>31408.2</v>
      </c>
      <c r="H20" s="60">
        <v>31408.2</v>
      </c>
      <c r="I20" s="60">
        <v>31408.2</v>
      </c>
    </row>
    <row r="21" spans="1:9" x14ac:dyDescent="0.3">
      <c r="A21" s="137">
        <v>5</v>
      </c>
      <c r="B21" s="138" t="s">
        <v>350</v>
      </c>
      <c r="C21" s="31" t="s">
        <v>351</v>
      </c>
      <c r="D21" s="4">
        <v>186348</v>
      </c>
      <c r="E21" s="4">
        <v>186348</v>
      </c>
      <c r="F21" s="4">
        <v>186348</v>
      </c>
      <c r="G21" s="60">
        <v>507781.2</v>
      </c>
      <c r="H21" s="60">
        <v>498623.89999999997</v>
      </c>
      <c r="I21" s="60">
        <v>498623.89999999997</v>
      </c>
    </row>
    <row r="22" spans="1:9" x14ac:dyDescent="0.3">
      <c r="A22" s="137"/>
      <c r="B22" s="138"/>
      <c r="C22" s="31" t="s">
        <v>352</v>
      </c>
      <c r="D22" s="4">
        <v>44595</v>
      </c>
      <c r="E22" s="4">
        <v>44595</v>
      </c>
      <c r="F22" s="4">
        <v>44595</v>
      </c>
      <c r="G22" s="60">
        <v>137640.9</v>
      </c>
      <c r="H22" s="60">
        <v>122789.79999999999</v>
      </c>
      <c r="I22" s="60">
        <v>122789.79999999999</v>
      </c>
    </row>
    <row r="23" spans="1:9" ht="59.25" customHeight="1" x14ac:dyDescent="0.3">
      <c r="A23" s="137">
        <v>6</v>
      </c>
      <c r="B23" s="138" t="s">
        <v>353</v>
      </c>
      <c r="C23" s="31" t="s">
        <v>354</v>
      </c>
      <c r="D23" s="4">
        <v>759584</v>
      </c>
      <c r="E23" s="4">
        <v>759584</v>
      </c>
      <c r="F23" s="4">
        <v>759584</v>
      </c>
      <c r="G23" s="144">
        <v>1223288.8999999999</v>
      </c>
      <c r="H23" s="144">
        <v>1223288.8999999999</v>
      </c>
      <c r="I23" s="144">
        <v>1223288.8999999999</v>
      </c>
    </row>
    <row r="24" spans="1:9" ht="39.75" customHeight="1" x14ac:dyDescent="0.3">
      <c r="A24" s="137"/>
      <c r="B24" s="138"/>
      <c r="C24" s="31" t="s">
        <v>355</v>
      </c>
      <c r="D24" s="4">
        <v>150119</v>
      </c>
      <c r="E24" s="4">
        <v>150119</v>
      </c>
      <c r="F24" s="4">
        <v>150119</v>
      </c>
      <c r="G24" s="145"/>
      <c r="H24" s="145"/>
      <c r="I24" s="145"/>
    </row>
    <row r="25" spans="1:9" ht="31.5" customHeight="1" x14ac:dyDescent="0.3">
      <c r="A25" s="137">
        <v>7</v>
      </c>
      <c r="B25" s="138" t="s">
        <v>356</v>
      </c>
      <c r="C25" s="31" t="s">
        <v>357</v>
      </c>
      <c r="D25" s="4">
        <v>4578</v>
      </c>
      <c r="E25" s="4">
        <v>4578</v>
      </c>
      <c r="F25" s="4">
        <v>4578</v>
      </c>
      <c r="G25" s="139">
        <v>13875.2</v>
      </c>
      <c r="H25" s="139">
        <v>13875.2</v>
      </c>
      <c r="I25" s="139">
        <v>13875.2</v>
      </c>
    </row>
    <row r="26" spans="1:9" ht="40.5" customHeight="1" x14ac:dyDescent="0.3">
      <c r="A26" s="137"/>
      <c r="B26" s="138"/>
      <c r="C26" s="31" t="s">
        <v>358</v>
      </c>
      <c r="D26" s="31">
        <v>492</v>
      </c>
      <c r="E26" s="31">
        <v>492</v>
      </c>
      <c r="F26" s="31">
        <v>492</v>
      </c>
      <c r="G26" s="139"/>
      <c r="H26" s="139"/>
      <c r="I26" s="139"/>
    </row>
    <row r="27" spans="1:9" ht="75" x14ac:dyDescent="0.3">
      <c r="A27" s="31">
        <v>8</v>
      </c>
      <c r="B27" s="35" t="s">
        <v>359</v>
      </c>
      <c r="C27" s="31" t="s">
        <v>360</v>
      </c>
      <c r="D27" s="4">
        <v>882033</v>
      </c>
      <c r="E27" s="4">
        <v>882033</v>
      </c>
      <c r="F27" s="4">
        <v>882033</v>
      </c>
      <c r="G27" s="60">
        <v>168816.2</v>
      </c>
      <c r="H27" s="60">
        <v>168816.2</v>
      </c>
      <c r="I27" s="60">
        <v>168816.2</v>
      </c>
    </row>
    <row r="28" spans="1:9" ht="38.25" customHeight="1" x14ac:dyDescent="0.3">
      <c r="A28" s="137">
        <v>9</v>
      </c>
      <c r="B28" s="138" t="s">
        <v>361</v>
      </c>
      <c r="C28" s="31" t="s">
        <v>362</v>
      </c>
      <c r="D28" s="4">
        <v>158767</v>
      </c>
      <c r="E28" s="4">
        <v>158767</v>
      </c>
      <c r="F28" s="4">
        <v>158767</v>
      </c>
      <c r="G28" s="139">
        <v>126291.7</v>
      </c>
      <c r="H28" s="139">
        <v>126291.7</v>
      </c>
      <c r="I28" s="139">
        <v>126291.7</v>
      </c>
    </row>
    <row r="29" spans="1:9" ht="26.25" customHeight="1" x14ac:dyDescent="0.3">
      <c r="A29" s="137"/>
      <c r="B29" s="138"/>
      <c r="C29" s="31" t="s">
        <v>357</v>
      </c>
      <c r="D29" s="31" t="s">
        <v>363</v>
      </c>
      <c r="E29" s="31" t="s">
        <v>363</v>
      </c>
      <c r="F29" s="31" t="s">
        <v>363</v>
      </c>
      <c r="G29" s="139"/>
      <c r="H29" s="139"/>
      <c r="I29" s="139"/>
    </row>
    <row r="30" spans="1:9" ht="37.5" x14ac:dyDescent="0.3">
      <c r="A30" s="31">
        <v>10</v>
      </c>
      <c r="B30" s="35" t="s">
        <v>364</v>
      </c>
      <c r="C30" s="31" t="s">
        <v>365</v>
      </c>
      <c r="D30" s="4">
        <v>27369</v>
      </c>
      <c r="E30" s="4">
        <v>27369</v>
      </c>
      <c r="F30" s="4">
        <v>27369</v>
      </c>
      <c r="G30" s="60">
        <v>107207.2</v>
      </c>
      <c r="H30" s="60">
        <v>107207.2</v>
      </c>
      <c r="I30" s="60">
        <v>107207.2</v>
      </c>
    </row>
    <row r="31" spans="1:9" ht="56.25" x14ac:dyDescent="0.3">
      <c r="A31" s="31">
        <v>11</v>
      </c>
      <c r="B31" s="35" t="s">
        <v>366</v>
      </c>
      <c r="C31" s="31" t="s">
        <v>367</v>
      </c>
      <c r="D31" s="4">
        <v>10112</v>
      </c>
      <c r="E31" s="4">
        <v>10112</v>
      </c>
      <c r="F31" s="4">
        <v>10112</v>
      </c>
      <c r="G31" s="60">
        <v>19503.900000000001</v>
      </c>
      <c r="H31" s="60">
        <v>19503.900000000001</v>
      </c>
      <c r="I31" s="60">
        <v>19503.900000000001</v>
      </c>
    </row>
    <row r="32" spans="1:9" ht="75" x14ac:dyDescent="0.3">
      <c r="A32" s="31">
        <v>12</v>
      </c>
      <c r="B32" s="35" t="s">
        <v>368</v>
      </c>
      <c r="C32" s="31" t="s">
        <v>369</v>
      </c>
      <c r="D32" s="4">
        <v>22740</v>
      </c>
      <c r="E32" s="4">
        <v>22740</v>
      </c>
      <c r="F32" s="4">
        <v>22740</v>
      </c>
      <c r="G32" s="60">
        <v>4595981.8</v>
      </c>
      <c r="H32" s="60">
        <v>4595981.8</v>
      </c>
      <c r="I32" s="60">
        <v>4595981.8</v>
      </c>
    </row>
    <row r="33" spans="1:9" ht="77.25" customHeight="1" x14ac:dyDescent="0.3">
      <c r="A33" s="31">
        <v>13</v>
      </c>
      <c r="B33" s="35" t="s">
        <v>370</v>
      </c>
      <c r="C33" s="31" t="s">
        <v>371</v>
      </c>
      <c r="D33" s="4">
        <v>6183</v>
      </c>
      <c r="E33" s="4">
        <v>6183</v>
      </c>
      <c r="F33" s="4">
        <v>6183</v>
      </c>
      <c r="G33" s="60">
        <v>157977.20000000001</v>
      </c>
      <c r="H33" s="60">
        <v>157977.20000000001</v>
      </c>
      <c r="I33" s="60">
        <v>157977.20000000001</v>
      </c>
    </row>
    <row r="34" spans="1:9" ht="93.75" x14ac:dyDescent="0.3">
      <c r="A34" s="31">
        <v>14</v>
      </c>
      <c r="B34" s="35" t="s">
        <v>372</v>
      </c>
      <c r="C34" s="31" t="s">
        <v>349</v>
      </c>
      <c r="D34" s="4">
        <v>15781</v>
      </c>
      <c r="E34" s="4">
        <v>15781</v>
      </c>
      <c r="F34" s="4">
        <v>15781</v>
      </c>
      <c r="G34" s="60">
        <v>143434.4</v>
      </c>
      <c r="H34" s="60">
        <v>137365.29999999999</v>
      </c>
      <c r="I34" s="60">
        <v>137365.29999999999</v>
      </c>
    </row>
    <row r="35" spans="1:9" x14ac:dyDescent="0.3">
      <c r="A35" s="137">
        <v>15</v>
      </c>
      <c r="B35" s="141" t="s">
        <v>373</v>
      </c>
      <c r="C35" s="31" t="s">
        <v>374</v>
      </c>
      <c r="D35" s="4">
        <v>11178</v>
      </c>
      <c r="E35" s="4">
        <v>11178</v>
      </c>
      <c r="F35" s="4">
        <v>11178</v>
      </c>
      <c r="G35" s="139">
        <v>237448.4</v>
      </c>
      <c r="H35" s="139">
        <v>237448.4</v>
      </c>
      <c r="I35" s="139">
        <v>237448.4</v>
      </c>
    </row>
    <row r="36" spans="1:9" x14ac:dyDescent="0.3">
      <c r="A36" s="137"/>
      <c r="B36" s="141"/>
      <c r="C36" s="31" t="s">
        <v>375</v>
      </c>
      <c r="D36" s="4">
        <v>4600</v>
      </c>
      <c r="E36" s="4">
        <v>4600</v>
      </c>
      <c r="F36" s="4">
        <v>4600</v>
      </c>
      <c r="G36" s="139"/>
      <c r="H36" s="139"/>
      <c r="I36" s="139"/>
    </row>
    <row r="37" spans="1:9" x14ac:dyDescent="0.3">
      <c r="A37" s="31">
        <v>16</v>
      </c>
      <c r="B37" s="35" t="s">
        <v>376</v>
      </c>
      <c r="C37" s="31" t="s">
        <v>377</v>
      </c>
      <c r="D37" s="31" t="s">
        <v>378</v>
      </c>
      <c r="E37" s="31" t="s">
        <v>378</v>
      </c>
      <c r="F37" s="31" t="s">
        <v>378</v>
      </c>
      <c r="G37" s="60">
        <v>797031.9</v>
      </c>
      <c r="H37" s="60">
        <v>797031.9</v>
      </c>
      <c r="I37" s="60">
        <v>797031.9</v>
      </c>
    </row>
    <row r="38" spans="1:9" x14ac:dyDescent="0.3">
      <c r="A38" s="31">
        <v>17</v>
      </c>
      <c r="B38" s="35" t="s">
        <v>379</v>
      </c>
      <c r="C38" s="31" t="s">
        <v>377</v>
      </c>
      <c r="D38" s="4">
        <v>12500</v>
      </c>
      <c r="E38" s="4">
        <v>12500</v>
      </c>
      <c r="F38" s="4">
        <v>12500</v>
      </c>
      <c r="G38" s="60">
        <v>84101</v>
      </c>
      <c r="H38" s="60">
        <v>84101</v>
      </c>
      <c r="I38" s="60">
        <v>84101</v>
      </c>
    </row>
    <row r="39" spans="1:9" ht="37.5" x14ac:dyDescent="0.3">
      <c r="A39" s="31">
        <v>18</v>
      </c>
      <c r="B39" s="35" t="s">
        <v>380</v>
      </c>
      <c r="C39" s="31" t="s">
        <v>381</v>
      </c>
      <c r="D39" s="4">
        <v>1700</v>
      </c>
      <c r="E39" s="4">
        <v>1700</v>
      </c>
      <c r="F39" s="4">
        <v>1700</v>
      </c>
      <c r="G39" s="60">
        <v>702653.4</v>
      </c>
      <c r="H39" s="60">
        <v>650309.80000000005</v>
      </c>
      <c r="I39" s="60">
        <v>550000</v>
      </c>
    </row>
    <row r="40" spans="1:9" ht="39" customHeight="1" x14ac:dyDescent="0.3">
      <c r="A40" s="31">
        <v>19</v>
      </c>
      <c r="B40" s="35" t="s">
        <v>382</v>
      </c>
      <c r="C40" s="31" t="s">
        <v>400</v>
      </c>
      <c r="D40" s="4">
        <v>6812</v>
      </c>
      <c r="E40" s="4">
        <v>6812</v>
      </c>
      <c r="F40" s="4">
        <v>6812</v>
      </c>
      <c r="G40" s="62">
        <v>24236.900000000023</v>
      </c>
      <c r="H40" s="62">
        <v>24236.900000000023</v>
      </c>
      <c r="I40" s="62">
        <v>24236.900000000023</v>
      </c>
    </row>
    <row r="41" spans="1:9" x14ac:dyDescent="0.3">
      <c r="A41" s="31">
        <v>20</v>
      </c>
      <c r="B41" s="35" t="s">
        <v>383</v>
      </c>
      <c r="C41" s="31" t="s">
        <v>384</v>
      </c>
      <c r="D41" s="31" t="s">
        <v>385</v>
      </c>
      <c r="E41" s="31" t="s">
        <v>385</v>
      </c>
      <c r="F41" s="31" t="s">
        <v>385</v>
      </c>
      <c r="G41" s="60">
        <v>227986.2</v>
      </c>
      <c r="H41" s="60">
        <v>227986.2</v>
      </c>
      <c r="I41" s="60">
        <v>227986.2</v>
      </c>
    </row>
    <row r="42" spans="1:9" ht="56.25" x14ac:dyDescent="0.3">
      <c r="A42" s="31">
        <v>21</v>
      </c>
      <c r="B42" s="35" t="s">
        <v>386</v>
      </c>
      <c r="C42" s="31" t="s">
        <v>347</v>
      </c>
      <c r="D42" s="31">
        <v>261</v>
      </c>
      <c r="E42" s="31">
        <v>261</v>
      </c>
      <c r="F42" s="31">
        <v>261</v>
      </c>
      <c r="G42" s="60">
        <v>28461.5</v>
      </c>
      <c r="H42" s="60">
        <v>28461.5</v>
      </c>
      <c r="I42" s="60">
        <v>28461.5</v>
      </c>
    </row>
    <row r="43" spans="1:9" ht="75" x14ac:dyDescent="0.3">
      <c r="A43" s="31">
        <v>22</v>
      </c>
      <c r="B43" s="35" t="s">
        <v>387</v>
      </c>
      <c r="C43" s="31" t="s">
        <v>388</v>
      </c>
      <c r="D43" s="4">
        <v>569574</v>
      </c>
      <c r="E43" s="4">
        <v>569574</v>
      </c>
      <c r="F43" s="4">
        <v>569574</v>
      </c>
      <c r="G43" s="62">
        <v>62042.9</v>
      </c>
      <c r="H43" s="62">
        <v>62042.9</v>
      </c>
      <c r="I43" s="62">
        <v>62042.9</v>
      </c>
    </row>
    <row r="44" spans="1:9" ht="56.25" x14ac:dyDescent="0.3">
      <c r="A44" s="137">
        <v>23</v>
      </c>
      <c r="B44" s="142" t="s">
        <v>389</v>
      </c>
      <c r="C44" s="31" t="s">
        <v>390</v>
      </c>
      <c r="D44" s="36">
        <v>985500</v>
      </c>
      <c r="E44" s="36">
        <v>985500</v>
      </c>
      <c r="F44" s="36">
        <v>985500</v>
      </c>
      <c r="G44" s="139">
        <v>1085146.8999999999</v>
      </c>
      <c r="H44" s="139">
        <v>1085146.8999999999</v>
      </c>
      <c r="I44" s="139">
        <v>1085146.8999999999</v>
      </c>
    </row>
    <row r="45" spans="1:9" ht="37.5" x14ac:dyDescent="0.3">
      <c r="A45" s="137"/>
      <c r="B45" s="143"/>
      <c r="C45" s="31" t="s">
        <v>391</v>
      </c>
      <c r="D45" s="36">
        <v>669800</v>
      </c>
      <c r="E45" s="36">
        <v>669800</v>
      </c>
      <c r="F45" s="36">
        <v>669800</v>
      </c>
      <c r="G45" s="139"/>
      <c r="H45" s="139"/>
      <c r="I45" s="139"/>
    </row>
    <row r="46" spans="1:9" ht="56.25" x14ac:dyDescent="0.3">
      <c r="A46" s="137">
        <v>24</v>
      </c>
      <c r="B46" s="138" t="s">
        <v>392</v>
      </c>
      <c r="C46" s="35" t="s">
        <v>393</v>
      </c>
      <c r="D46" s="31">
        <v>16</v>
      </c>
      <c r="E46" s="31">
        <v>16</v>
      </c>
      <c r="F46" s="31">
        <v>16</v>
      </c>
      <c r="G46" s="139">
        <v>131052.1</v>
      </c>
      <c r="H46" s="139">
        <v>131052.1</v>
      </c>
      <c r="I46" s="139">
        <v>131052.1</v>
      </c>
    </row>
    <row r="47" spans="1:9" ht="96" customHeight="1" x14ac:dyDescent="0.3">
      <c r="A47" s="137"/>
      <c r="B47" s="138"/>
      <c r="C47" s="35" t="s">
        <v>394</v>
      </c>
      <c r="D47" s="31">
        <v>45</v>
      </c>
      <c r="E47" s="31">
        <v>45</v>
      </c>
      <c r="F47" s="31">
        <v>45</v>
      </c>
      <c r="G47" s="139"/>
      <c r="H47" s="139"/>
      <c r="I47" s="139"/>
    </row>
    <row r="48" spans="1:9" x14ac:dyDescent="0.3">
      <c r="A48" s="134" t="s">
        <v>395</v>
      </c>
      <c r="B48" s="135"/>
      <c r="C48" s="135"/>
      <c r="D48" s="135"/>
      <c r="E48" s="135"/>
      <c r="F48" s="136"/>
      <c r="G48" s="63">
        <f>G50</f>
        <v>1106342.3</v>
      </c>
      <c r="H48" s="63">
        <f t="shared" ref="H48:I48" si="1">H50</f>
        <v>1106342.3</v>
      </c>
      <c r="I48" s="63">
        <f t="shared" si="1"/>
        <v>1106342.3</v>
      </c>
    </row>
    <row r="49" spans="1:9" x14ac:dyDescent="0.3">
      <c r="A49" s="131" t="s">
        <v>336</v>
      </c>
      <c r="B49" s="132"/>
      <c r="C49" s="132"/>
      <c r="D49" s="132"/>
      <c r="E49" s="132"/>
      <c r="F49" s="133"/>
      <c r="G49" s="60"/>
      <c r="H49" s="60"/>
      <c r="I49" s="60"/>
    </row>
    <row r="50" spans="1:9" ht="57" customHeight="1" x14ac:dyDescent="0.3">
      <c r="A50" s="31">
        <v>25</v>
      </c>
      <c r="B50" s="35" t="s">
        <v>396</v>
      </c>
      <c r="C50" s="31" t="s">
        <v>349</v>
      </c>
      <c r="D50" s="31" t="s">
        <v>397</v>
      </c>
      <c r="E50" s="31" t="s">
        <v>397</v>
      </c>
      <c r="F50" s="31" t="s">
        <v>397</v>
      </c>
      <c r="G50" s="60">
        <v>1106342.3</v>
      </c>
      <c r="H50" s="60">
        <v>1106342.3</v>
      </c>
      <c r="I50" s="60">
        <v>1106342.3</v>
      </c>
    </row>
    <row r="51" spans="1:9" x14ac:dyDescent="0.3">
      <c r="A51" s="140" t="s">
        <v>401</v>
      </c>
      <c r="B51" s="140"/>
      <c r="C51" s="140"/>
      <c r="D51" s="140"/>
      <c r="E51" s="140"/>
      <c r="F51" s="140"/>
      <c r="G51" s="28">
        <f>G52+G75+G104+G114+G117</f>
        <v>14627260.600000003</v>
      </c>
      <c r="H51" s="28">
        <f>H52+H75+H104+H114+H117</f>
        <v>14667247.000000002</v>
      </c>
      <c r="I51" s="28">
        <f>I52+I75+I104+I114+I117</f>
        <v>14726292.200000001</v>
      </c>
    </row>
    <row r="52" spans="1:9" ht="18.75" customHeight="1" x14ac:dyDescent="0.3">
      <c r="A52" s="134" t="s">
        <v>402</v>
      </c>
      <c r="B52" s="135"/>
      <c r="C52" s="135"/>
      <c r="D52" s="135"/>
      <c r="E52" s="135"/>
      <c r="F52" s="136"/>
      <c r="G52" s="63">
        <f>SUM(G54:G74)+113349.9</f>
        <v>8904293.1000000015</v>
      </c>
      <c r="H52" s="63">
        <f>SUM(H54:H74)+119927.4</f>
        <v>8976069.8000000007</v>
      </c>
      <c r="I52" s="63">
        <f>SUM(I54:I74)+109499.7</f>
        <v>9035456.2000000011</v>
      </c>
    </row>
    <row r="53" spans="1:9" ht="18.75" customHeight="1" x14ac:dyDescent="0.3">
      <c r="A53" s="131" t="s">
        <v>40</v>
      </c>
      <c r="B53" s="132"/>
      <c r="C53" s="132"/>
      <c r="D53" s="132"/>
      <c r="E53" s="132"/>
      <c r="F53" s="133"/>
      <c r="G53" s="60"/>
      <c r="H53" s="60"/>
      <c r="I53" s="60"/>
    </row>
    <row r="54" spans="1:9" ht="75" x14ac:dyDescent="0.3">
      <c r="A54" s="31">
        <v>1</v>
      </c>
      <c r="B54" s="32" t="s">
        <v>403</v>
      </c>
      <c r="C54" s="31" t="s">
        <v>404</v>
      </c>
      <c r="D54" s="31">
        <v>504</v>
      </c>
      <c r="E54" s="31">
        <v>504</v>
      </c>
      <c r="F54" s="31">
        <v>504</v>
      </c>
      <c r="G54" s="60">
        <v>110989.1</v>
      </c>
      <c r="H54" s="60">
        <v>109541.5</v>
      </c>
      <c r="I54" s="60">
        <v>109541.5</v>
      </c>
    </row>
    <row r="55" spans="1:9" x14ac:dyDescent="0.3">
      <c r="A55" s="131" t="s">
        <v>207</v>
      </c>
      <c r="B55" s="132"/>
      <c r="C55" s="132"/>
      <c r="D55" s="132"/>
      <c r="E55" s="132"/>
      <c r="F55" s="133"/>
      <c r="G55" s="60"/>
      <c r="H55" s="60"/>
      <c r="I55" s="60"/>
    </row>
    <row r="56" spans="1:9" ht="56.25" x14ac:dyDescent="0.3">
      <c r="A56" s="31">
        <v>1</v>
      </c>
      <c r="B56" s="32" t="s">
        <v>405</v>
      </c>
      <c r="C56" s="31" t="s">
        <v>404</v>
      </c>
      <c r="D56" s="4">
        <v>1911</v>
      </c>
      <c r="E56" s="4">
        <v>1911</v>
      </c>
      <c r="F56" s="4">
        <v>1911</v>
      </c>
      <c r="G56" s="60">
        <v>589630.80000000005</v>
      </c>
      <c r="H56" s="60">
        <v>565669.4</v>
      </c>
      <c r="I56" s="60">
        <v>568224.80000000005</v>
      </c>
    </row>
    <row r="57" spans="1:9" ht="37.5" x14ac:dyDescent="0.3">
      <c r="A57" s="31">
        <v>2</v>
      </c>
      <c r="B57" s="32" t="s">
        <v>406</v>
      </c>
      <c r="C57" s="31" t="s">
        <v>407</v>
      </c>
      <c r="D57" s="66">
        <v>5468.5</v>
      </c>
      <c r="E57" s="66">
        <v>5468.5</v>
      </c>
      <c r="F57" s="66">
        <v>5468.5</v>
      </c>
      <c r="G57" s="60">
        <v>8384.1</v>
      </c>
      <c r="H57" s="60">
        <v>8384.1</v>
      </c>
      <c r="I57" s="60">
        <v>8384.1</v>
      </c>
    </row>
    <row r="58" spans="1:9" ht="131.25" x14ac:dyDescent="0.3">
      <c r="A58" s="31">
        <v>3</v>
      </c>
      <c r="B58" s="32" t="s">
        <v>408</v>
      </c>
      <c r="C58" s="31" t="s">
        <v>404</v>
      </c>
      <c r="D58" s="31">
        <v>157</v>
      </c>
      <c r="E58" s="31">
        <v>157</v>
      </c>
      <c r="F58" s="31">
        <v>157</v>
      </c>
      <c r="G58" s="60">
        <v>93070</v>
      </c>
      <c r="H58" s="60">
        <v>93057</v>
      </c>
      <c r="I58" s="60">
        <v>93252.3</v>
      </c>
    </row>
    <row r="59" spans="1:9" ht="37.5" x14ac:dyDescent="0.3">
      <c r="A59" s="31">
        <v>4</v>
      </c>
      <c r="B59" s="32" t="s">
        <v>409</v>
      </c>
      <c r="C59" s="31" t="s">
        <v>410</v>
      </c>
      <c r="D59" s="4">
        <v>2592</v>
      </c>
      <c r="E59" s="4">
        <v>2592</v>
      </c>
      <c r="F59" s="4">
        <v>2592</v>
      </c>
      <c r="G59" s="60">
        <v>7763.9</v>
      </c>
      <c r="H59" s="60">
        <v>7763.9</v>
      </c>
      <c r="I59" s="60">
        <v>7763.9</v>
      </c>
    </row>
    <row r="60" spans="1:9" ht="39.75" customHeight="1" x14ac:dyDescent="0.3">
      <c r="A60" s="31">
        <v>5</v>
      </c>
      <c r="B60" s="32" t="s">
        <v>27</v>
      </c>
      <c r="C60" s="31" t="s">
        <v>29</v>
      </c>
      <c r="D60" s="31">
        <v>21</v>
      </c>
      <c r="E60" s="31">
        <v>21</v>
      </c>
      <c r="F60" s="31">
        <v>21</v>
      </c>
      <c r="G60" s="60">
        <v>200</v>
      </c>
      <c r="H60" s="60">
        <v>200</v>
      </c>
      <c r="I60" s="60">
        <v>200</v>
      </c>
    </row>
    <row r="61" spans="1:9" ht="37.5" x14ac:dyDescent="0.3">
      <c r="A61" s="31">
        <v>6</v>
      </c>
      <c r="B61" s="32" t="s">
        <v>308</v>
      </c>
      <c r="C61" s="31" t="s">
        <v>411</v>
      </c>
      <c r="D61" s="31">
        <v>488</v>
      </c>
      <c r="E61" s="31">
        <v>488</v>
      </c>
      <c r="F61" s="31">
        <v>488</v>
      </c>
      <c r="G61" s="60">
        <v>41508.400000000001</v>
      </c>
      <c r="H61" s="60">
        <v>41508.400000000001</v>
      </c>
      <c r="I61" s="60">
        <v>41508.400000000001</v>
      </c>
    </row>
    <row r="62" spans="1:9" ht="37.5" x14ac:dyDescent="0.3">
      <c r="A62" s="31">
        <v>7</v>
      </c>
      <c r="B62" s="32" t="s">
        <v>313</v>
      </c>
      <c r="C62" s="31" t="s">
        <v>411</v>
      </c>
      <c r="D62" s="31">
        <v>34</v>
      </c>
      <c r="E62" s="31">
        <v>34</v>
      </c>
      <c r="F62" s="31">
        <v>34</v>
      </c>
      <c r="G62" s="60">
        <v>7946.8</v>
      </c>
      <c r="H62" s="60">
        <v>7946.8</v>
      </c>
      <c r="I62" s="60">
        <v>7946.8</v>
      </c>
    </row>
    <row r="63" spans="1:9" x14ac:dyDescent="0.3">
      <c r="A63" s="131" t="s">
        <v>336</v>
      </c>
      <c r="B63" s="132"/>
      <c r="C63" s="132"/>
      <c r="D63" s="132"/>
      <c r="E63" s="132"/>
      <c r="F63" s="133"/>
      <c r="G63" s="60"/>
      <c r="H63" s="60"/>
      <c r="I63" s="60"/>
    </row>
    <row r="64" spans="1:9" ht="75" x14ac:dyDescent="0.3">
      <c r="A64" s="31">
        <v>1</v>
      </c>
      <c r="B64" s="32" t="s">
        <v>412</v>
      </c>
      <c r="C64" s="31" t="s">
        <v>404</v>
      </c>
      <c r="D64" s="4">
        <v>3952</v>
      </c>
      <c r="E64" s="4">
        <v>4095</v>
      </c>
      <c r="F64" s="4">
        <v>3827</v>
      </c>
      <c r="G64" s="60">
        <v>635696.30000000005</v>
      </c>
      <c r="H64" s="60">
        <v>679615.2</v>
      </c>
      <c r="I64" s="60">
        <v>725176.3</v>
      </c>
    </row>
    <row r="65" spans="1:9" ht="37.5" x14ac:dyDescent="0.3">
      <c r="A65" s="31">
        <v>2</v>
      </c>
      <c r="B65" s="32" t="s">
        <v>107</v>
      </c>
      <c r="C65" s="31" t="s">
        <v>410</v>
      </c>
      <c r="D65" s="4">
        <v>57600</v>
      </c>
      <c r="E65" s="4">
        <v>57600</v>
      </c>
      <c r="F65" s="4">
        <v>57600</v>
      </c>
      <c r="G65" s="60">
        <v>5468.6</v>
      </c>
      <c r="H65" s="60">
        <v>5468.6</v>
      </c>
      <c r="I65" s="60">
        <v>5468.6</v>
      </c>
    </row>
    <row r="66" spans="1:9" ht="37.5" x14ac:dyDescent="0.3">
      <c r="A66" s="31">
        <v>3</v>
      </c>
      <c r="B66" s="32" t="s">
        <v>308</v>
      </c>
      <c r="C66" s="31" t="s">
        <v>411</v>
      </c>
      <c r="D66" s="31">
        <v>967</v>
      </c>
      <c r="E66" s="31">
        <v>967</v>
      </c>
      <c r="F66" s="31">
        <v>967</v>
      </c>
      <c r="G66" s="60">
        <v>45236.6</v>
      </c>
      <c r="H66" s="60">
        <v>45236.6</v>
      </c>
      <c r="I66" s="60">
        <v>45236.6</v>
      </c>
    </row>
    <row r="67" spans="1:9" ht="18.75" customHeight="1" x14ac:dyDescent="0.3">
      <c r="A67" s="131" t="s">
        <v>413</v>
      </c>
      <c r="B67" s="132"/>
      <c r="C67" s="132"/>
      <c r="D67" s="132"/>
      <c r="E67" s="132"/>
      <c r="F67" s="133"/>
      <c r="G67" s="60"/>
      <c r="H67" s="60"/>
      <c r="I67" s="60"/>
    </row>
    <row r="68" spans="1:9" ht="56.25" x14ac:dyDescent="0.3">
      <c r="A68" s="67">
        <v>1</v>
      </c>
      <c r="B68" s="68" t="s">
        <v>414</v>
      </c>
      <c r="C68" s="8" t="s">
        <v>411</v>
      </c>
      <c r="D68" s="69">
        <v>25209</v>
      </c>
      <c r="E68" s="69">
        <v>27062</v>
      </c>
      <c r="F68" s="69">
        <v>24128</v>
      </c>
      <c r="G68" s="60">
        <v>3394622.7</v>
      </c>
      <c r="H68" s="60">
        <v>3696104.1</v>
      </c>
      <c r="I68" s="60">
        <v>3870295.7</v>
      </c>
    </row>
    <row r="69" spans="1:9" ht="56.25" x14ac:dyDescent="0.3">
      <c r="A69" s="67">
        <f>A68+1</f>
        <v>2</v>
      </c>
      <c r="B69" s="68" t="s">
        <v>415</v>
      </c>
      <c r="C69" s="8" t="s">
        <v>411</v>
      </c>
      <c r="D69" s="69">
        <v>12747</v>
      </c>
      <c r="E69" s="69">
        <v>11644</v>
      </c>
      <c r="F69" s="69">
        <v>10969</v>
      </c>
      <c r="G69" s="60">
        <v>2192495.1</v>
      </c>
      <c r="H69" s="60">
        <v>1968073.9</v>
      </c>
      <c r="I69" s="60">
        <v>1841005.9</v>
      </c>
    </row>
    <row r="70" spans="1:9" ht="75" x14ac:dyDescent="0.3">
      <c r="A70" s="67">
        <f t="shared" ref="A70:A74" si="2">A69+1</f>
        <v>3</v>
      </c>
      <c r="B70" s="68" t="s">
        <v>416</v>
      </c>
      <c r="C70" s="8" t="s">
        <v>410</v>
      </c>
      <c r="D70" s="69">
        <f>3370219+73774</f>
        <v>3443993</v>
      </c>
      <c r="E70" s="69">
        <f>3430219+73774</f>
        <v>3503993</v>
      </c>
      <c r="F70" s="69">
        <f>3370219+73774</f>
        <v>3443993</v>
      </c>
      <c r="G70" s="60">
        <f>599812.1+15610.3</f>
        <v>615422.4</v>
      </c>
      <c r="H70" s="60">
        <f>621087+15610.3</f>
        <v>636697.30000000005</v>
      </c>
      <c r="I70" s="60">
        <f>599812.1+15610.3</f>
        <v>615422.4</v>
      </c>
    </row>
    <row r="71" spans="1:9" ht="56.25" x14ac:dyDescent="0.3">
      <c r="A71" s="67">
        <f t="shared" si="2"/>
        <v>4</v>
      </c>
      <c r="B71" s="68" t="s">
        <v>109</v>
      </c>
      <c r="C71" s="8" t="s">
        <v>417</v>
      </c>
      <c r="D71" s="51">
        <f>2+6+1+1</f>
        <v>10</v>
      </c>
      <c r="E71" s="51">
        <f>2+6+1+1</f>
        <v>10</v>
      </c>
      <c r="F71" s="51">
        <f>2+6+1+1</f>
        <v>10</v>
      </c>
      <c r="G71" s="60">
        <f>8717.8+1633.4+296.9+211.4</f>
        <v>10859.499999999998</v>
      </c>
      <c r="H71" s="60">
        <f>8717.8+1633.4+296.9+211.4</f>
        <v>10859.499999999998</v>
      </c>
      <c r="I71" s="60">
        <f>8717.8+1633.4+296.9+211.4</f>
        <v>10859.499999999998</v>
      </c>
    </row>
    <row r="72" spans="1:9" ht="37.5" x14ac:dyDescent="0.3">
      <c r="A72" s="67">
        <f t="shared" si="2"/>
        <v>5</v>
      </c>
      <c r="B72" s="68" t="s">
        <v>110</v>
      </c>
      <c r="C72" s="8" t="s">
        <v>417</v>
      </c>
      <c r="D72" s="51">
        <f>6+1</f>
        <v>7</v>
      </c>
      <c r="E72" s="51">
        <f>4+1</f>
        <v>5</v>
      </c>
      <c r="F72" s="51">
        <f>4+1</f>
        <v>5</v>
      </c>
      <c r="G72" s="60">
        <f>32884.3+24994.3</f>
        <v>57878.600000000006</v>
      </c>
      <c r="H72" s="60">
        <f>19830.1+1282.5</f>
        <v>21112.6</v>
      </c>
      <c r="I72" s="60">
        <f>19830.1+1282.5</f>
        <v>21112.6</v>
      </c>
    </row>
    <row r="73" spans="1:9" ht="37.5" x14ac:dyDescent="0.3">
      <c r="A73" s="67">
        <f t="shared" si="2"/>
        <v>6</v>
      </c>
      <c r="B73" s="68" t="s">
        <v>308</v>
      </c>
      <c r="C73" s="8" t="s">
        <v>411</v>
      </c>
      <c r="D73" s="51">
        <v>9549</v>
      </c>
      <c r="E73" s="51">
        <v>9363</v>
      </c>
      <c r="F73" s="51">
        <v>9339</v>
      </c>
      <c r="G73" s="60">
        <v>970971</v>
      </c>
      <c r="H73" s="60">
        <v>956104.2</v>
      </c>
      <c r="I73" s="60">
        <v>951757.8</v>
      </c>
    </row>
    <row r="74" spans="1:9" ht="131.25" x14ac:dyDescent="0.3">
      <c r="A74" s="67">
        <f t="shared" si="2"/>
        <v>7</v>
      </c>
      <c r="B74" s="68" t="s">
        <v>418</v>
      </c>
      <c r="C74" s="8" t="s">
        <v>419</v>
      </c>
      <c r="D74" s="51">
        <v>29</v>
      </c>
      <c r="E74" s="51">
        <v>29</v>
      </c>
      <c r="F74" s="51">
        <v>29</v>
      </c>
      <c r="G74" s="60">
        <v>2799.3</v>
      </c>
      <c r="H74" s="60">
        <v>2799.3</v>
      </c>
      <c r="I74" s="60">
        <v>2799.3</v>
      </c>
    </row>
    <row r="75" spans="1:9" ht="41.25" customHeight="1" x14ac:dyDescent="0.3">
      <c r="A75" s="134" t="s">
        <v>420</v>
      </c>
      <c r="B75" s="135"/>
      <c r="C75" s="135"/>
      <c r="D75" s="135"/>
      <c r="E75" s="135"/>
      <c r="F75" s="136"/>
      <c r="G75" s="63">
        <f>SUM(G77:G103)+94762</f>
        <v>5207661.9000000013</v>
      </c>
      <c r="H75" s="63">
        <f>SUM(H77:H103)+94704.5</f>
        <v>5191768.9000000013</v>
      </c>
      <c r="I75" s="63">
        <f>SUM(I77:I103)+94733.9</f>
        <v>5191885.7000000011</v>
      </c>
    </row>
    <row r="76" spans="1:9" x14ac:dyDescent="0.3">
      <c r="A76" s="131" t="s">
        <v>207</v>
      </c>
      <c r="B76" s="132"/>
      <c r="C76" s="132"/>
      <c r="D76" s="132"/>
      <c r="E76" s="132"/>
      <c r="F76" s="133"/>
      <c r="G76" s="60"/>
      <c r="H76" s="60"/>
      <c r="I76" s="60"/>
    </row>
    <row r="77" spans="1:9" ht="37.5" x14ac:dyDescent="0.3">
      <c r="A77" s="67">
        <v>1</v>
      </c>
      <c r="B77" s="70" t="s">
        <v>27</v>
      </c>
      <c r="C77" s="67" t="s">
        <v>29</v>
      </c>
      <c r="D77" s="67">
        <v>3</v>
      </c>
      <c r="E77" s="67">
        <v>3</v>
      </c>
      <c r="F77" s="67">
        <v>3</v>
      </c>
      <c r="G77" s="60">
        <v>5590</v>
      </c>
      <c r="H77" s="60">
        <v>5590</v>
      </c>
      <c r="I77" s="60">
        <v>5590</v>
      </c>
    </row>
    <row r="78" spans="1:9" x14ac:dyDescent="0.3">
      <c r="A78" s="131" t="s">
        <v>283</v>
      </c>
      <c r="B78" s="132"/>
      <c r="C78" s="132"/>
      <c r="D78" s="132"/>
      <c r="E78" s="132"/>
      <c r="F78" s="133"/>
      <c r="G78" s="60"/>
      <c r="H78" s="60"/>
      <c r="I78" s="60"/>
    </row>
    <row r="79" spans="1:9" ht="37.5" x14ac:dyDescent="0.3">
      <c r="A79" s="67">
        <v>1</v>
      </c>
      <c r="B79" s="70" t="s">
        <v>295</v>
      </c>
      <c r="C79" s="67" t="s">
        <v>312</v>
      </c>
      <c r="D79" s="67">
        <v>925</v>
      </c>
      <c r="E79" s="67">
        <v>700</v>
      </c>
      <c r="F79" s="67">
        <v>700</v>
      </c>
      <c r="G79" s="60">
        <v>39727.599999999999</v>
      </c>
      <c r="H79" s="60">
        <v>28936.1</v>
      </c>
      <c r="I79" s="60">
        <v>28936.1</v>
      </c>
    </row>
    <row r="80" spans="1:9" ht="56.25" x14ac:dyDescent="0.3">
      <c r="A80" s="67">
        <v>2</v>
      </c>
      <c r="B80" s="70" t="s">
        <v>421</v>
      </c>
      <c r="C80" s="67" t="s">
        <v>292</v>
      </c>
      <c r="D80" s="67">
        <v>10</v>
      </c>
      <c r="E80" s="67">
        <v>6</v>
      </c>
      <c r="F80" s="67">
        <v>6</v>
      </c>
      <c r="G80" s="60">
        <v>13020.5</v>
      </c>
      <c r="H80" s="60">
        <v>7812</v>
      </c>
      <c r="I80" s="60">
        <v>7812</v>
      </c>
    </row>
    <row r="81" spans="1:9" x14ac:dyDescent="0.3">
      <c r="A81" s="131" t="s">
        <v>413</v>
      </c>
      <c r="B81" s="132"/>
      <c r="C81" s="132"/>
      <c r="D81" s="132"/>
      <c r="E81" s="132"/>
      <c r="F81" s="133"/>
      <c r="G81" s="60"/>
      <c r="H81" s="60"/>
      <c r="I81" s="60"/>
    </row>
    <row r="82" spans="1:9" ht="37.5" x14ac:dyDescent="0.3">
      <c r="A82" s="71">
        <v>1</v>
      </c>
      <c r="B82" s="68" t="s">
        <v>313</v>
      </c>
      <c r="C82" s="8" t="s">
        <v>411</v>
      </c>
      <c r="D82" s="71">
        <v>7806</v>
      </c>
      <c r="E82" s="71">
        <v>7860</v>
      </c>
      <c r="F82" s="71">
        <v>7879</v>
      </c>
      <c r="G82" s="60">
        <v>871023.9</v>
      </c>
      <c r="H82" s="60">
        <v>875004.8</v>
      </c>
      <c r="I82" s="60">
        <v>876618</v>
      </c>
    </row>
    <row r="83" spans="1:9" ht="37.5" x14ac:dyDescent="0.3">
      <c r="A83" s="71">
        <v>2</v>
      </c>
      <c r="B83" s="68" t="s">
        <v>422</v>
      </c>
      <c r="C83" s="8" t="s">
        <v>411</v>
      </c>
      <c r="D83" s="71">
        <v>902</v>
      </c>
      <c r="E83" s="71">
        <v>976</v>
      </c>
      <c r="F83" s="71">
        <v>1010</v>
      </c>
      <c r="G83" s="60">
        <v>146586.29999999999</v>
      </c>
      <c r="H83" s="60">
        <v>157689.20000000001</v>
      </c>
      <c r="I83" s="60">
        <v>165362.4</v>
      </c>
    </row>
    <row r="84" spans="1:9" ht="37.5" x14ac:dyDescent="0.3">
      <c r="A84" s="71">
        <v>3</v>
      </c>
      <c r="B84" s="68" t="s">
        <v>423</v>
      </c>
      <c r="C84" s="8" t="s">
        <v>411</v>
      </c>
      <c r="D84" s="71">
        <v>3164</v>
      </c>
      <c r="E84" s="71">
        <v>3139</v>
      </c>
      <c r="F84" s="71">
        <v>3120</v>
      </c>
      <c r="G84" s="60">
        <v>471329.4</v>
      </c>
      <c r="H84" s="60">
        <v>467372.10000000003</v>
      </c>
      <c r="I84" s="60">
        <v>464342.10000000003</v>
      </c>
    </row>
    <row r="85" spans="1:9" ht="37.5" x14ac:dyDescent="0.3">
      <c r="A85" s="71">
        <v>4</v>
      </c>
      <c r="B85" s="68" t="s">
        <v>424</v>
      </c>
      <c r="C85" s="8" t="s">
        <v>411</v>
      </c>
      <c r="D85" s="71">
        <v>365</v>
      </c>
      <c r="E85" s="71">
        <v>365</v>
      </c>
      <c r="F85" s="71">
        <v>365</v>
      </c>
      <c r="G85" s="60">
        <v>56638</v>
      </c>
      <c r="H85" s="60">
        <v>56638</v>
      </c>
      <c r="I85" s="60">
        <v>56638</v>
      </c>
    </row>
    <row r="86" spans="1:9" ht="37.5" x14ac:dyDescent="0.3">
      <c r="A86" s="71">
        <v>5</v>
      </c>
      <c r="B86" s="68" t="s">
        <v>425</v>
      </c>
      <c r="C86" s="8" t="s">
        <v>411</v>
      </c>
      <c r="D86" s="71">
        <v>167</v>
      </c>
      <c r="E86" s="71">
        <v>167</v>
      </c>
      <c r="F86" s="71">
        <v>167</v>
      </c>
      <c r="G86" s="60">
        <v>18557.099999999999</v>
      </c>
      <c r="H86" s="60">
        <v>18557.099999999999</v>
      </c>
      <c r="I86" s="60">
        <v>18557.099999999999</v>
      </c>
    </row>
    <row r="87" spans="1:9" ht="37.5" x14ac:dyDescent="0.3">
      <c r="A87" s="71">
        <v>6</v>
      </c>
      <c r="B87" s="68" t="s">
        <v>409</v>
      </c>
      <c r="C87" s="8" t="s">
        <v>410</v>
      </c>
      <c r="D87" s="71">
        <f>3233842+929739</f>
        <v>4163581</v>
      </c>
      <c r="E87" s="71">
        <f>3237189+929739</f>
        <v>4166928</v>
      </c>
      <c r="F87" s="71">
        <f>3233252+929739</f>
        <v>4162991</v>
      </c>
      <c r="G87" s="60">
        <f>623626.8+177557</f>
        <v>801183.8</v>
      </c>
      <c r="H87" s="60">
        <f>624350.8+177557</f>
        <v>801907.8</v>
      </c>
      <c r="I87" s="60">
        <f>625231.4+177557</f>
        <v>802788.4</v>
      </c>
    </row>
    <row r="88" spans="1:9" ht="56.25" x14ac:dyDescent="0.3">
      <c r="A88" s="71">
        <v>7</v>
      </c>
      <c r="B88" s="68" t="s">
        <v>109</v>
      </c>
      <c r="C88" s="8" t="s">
        <v>417</v>
      </c>
      <c r="D88" s="71">
        <f>87+11</f>
        <v>98</v>
      </c>
      <c r="E88" s="71">
        <f>87+11</f>
        <v>98</v>
      </c>
      <c r="F88" s="71">
        <f>87+11</f>
        <v>98</v>
      </c>
      <c r="G88" s="60">
        <f>95722.7+3105</f>
        <v>98827.7</v>
      </c>
      <c r="H88" s="60">
        <f>95722.7+3105</f>
        <v>98827.7</v>
      </c>
      <c r="I88" s="60">
        <f>95722.7+3105</f>
        <v>98827.7</v>
      </c>
    </row>
    <row r="89" spans="1:9" ht="131.25" x14ac:dyDescent="0.3">
      <c r="A89" s="71">
        <v>8</v>
      </c>
      <c r="B89" s="68" t="s">
        <v>418</v>
      </c>
      <c r="C89" s="8" t="s">
        <v>417</v>
      </c>
      <c r="D89" s="71">
        <f>28+114</f>
        <v>142</v>
      </c>
      <c r="E89" s="71">
        <f>28+111</f>
        <v>139</v>
      </c>
      <c r="F89" s="71">
        <f>28+111</f>
        <v>139</v>
      </c>
      <c r="G89" s="60">
        <f>9565.8+74806.7</f>
        <v>84372.5</v>
      </c>
      <c r="H89" s="60">
        <f>9565.8+69284.2</f>
        <v>78850</v>
      </c>
      <c r="I89" s="60">
        <f>9565.8+69284.2</f>
        <v>78850</v>
      </c>
    </row>
    <row r="90" spans="1:9" ht="37.5" x14ac:dyDescent="0.3">
      <c r="A90" s="71">
        <v>9</v>
      </c>
      <c r="B90" s="68" t="s">
        <v>426</v>
      </c>
      <c r="C90" s="8" t="s">
        <v>411</v>
      </c>
      <c r="D90" s="71">
        <v>4218</v>
      </c>
      <c r="E90" s="71">
        <v>4277</v>
      </c>
      <c r="F90" s="71">
        <v>4317</v>
      </c>
      <c r="G90" s="60">
        <v>355594.3</v>
      </c>
      <c r="H90" s="60">
        <v>359883</v>
      </c>
      <c r="I90" s="60">
        <v>363017.2</v>
      </c>
    </row>
    <row r="91" spans="1:9" ht="37.5" x14ac:dyDescent="0.3">
      <c r="A91" s="71">
        <v>10</v>
      </c>
      <c r="B91" s="68" t="s">
        <v>317</v>
      </c>
      <c r="C91" s="8" t="s">
        <v>411</v>
      </c>
      <c r="D91" s="71">
        <v>2901</v>
      </c>
      <c r="E91" s="71">
        <v>2907</v>
      </c>
      <c r="F91" s="71">
        <v>2905</v>
      </c>
      <c r="G91" s="60">
        <v>582864.6</v>
      </c>
      <c r="H91" s="60">
        <v>581262.19999999995</v>
      </c>
      <c r="I91" s="60">
        <v>579937.6</v>
      </c>
    </row>
    <row r="92" spans="1:9" ht="37.5" x14ac:dyDescent="0.3">
      <c r="A92" s="71">
        <v>11</v>
      </c>
      <c r="B92" s="68" t="s">
        <v>427</v>
      </c>
      <c r="C92" s="8" t="s">
        <v>411</v>
      </c>
      <c r="D92" s="71">
        <v>5838</v>
      </c>
      <c r="E92" s="71">
        <v>5831</v>
      </c>
      <c r="F92" s="71">
        <v>5821</v>
      </c>
      <c r="G92" s="60">
        <v>243012.9</v>
      </c>
      <c r="H92" s="60">
        <v>242786.2</v>
      </c>
      <c r="I92" s="60">
        <v>242533.8</v>
      </c>
    </row>
    <row r="93" spans="1:9" ht="56.25" x14ac:dyDescent="0.3">
      <c r="A93" s="71">
        <v>12</v>
      </c>
      <c r="B93" s="68" t="s">
        <v>428</v>
      </c>
      <c r="C93" s="8" t="s">
        <v>429</v>
      </c>
      <c r="D93" s="71">
        <v>6000</v>
      </c>
      <c r="E93" s="71">
        <v>6000</v>
      </c>
      <c r="F93" s="71">
        <v>6000</v>
      </c>
      <c r="G93" s="60">
        <v>17708.5</v>
      </c>
      <c r="H93" s="60">
        <v>17708.5</v>
      </c>
      <c r="I93" s="60">
        <v>17708.5</v>
      </c>
    </row>
    <row r="94" spans="1:9" ht="56.25" x14ac:dyDescent="0.3">
      <c r="A94" s="71">
        <v>13</v>
      </c>
      <c r="B94" s="68" t="s">
        <v>430</v>
      </c>
      <c r="C94" s="8" t="s">
        <v>411</v>
      </c>
      <c r="D94" s="71">
        <v>4742</v>
      </c>
      <c r="E94" s="71">
        <v>4714</v>
      </c>
      <c r="F94" s="71">
        <v>4689</v>
      </c>
      <c r="G94" s="60">
        <v>22140.799999999999</v>
      </c>
      <c r="H94" s="60">
        <v>22009.8</v>
      </c>
      <c r="I94" s="60">
        <v>21892.1</v>
      </c>
    </row>
    <row r="95" spans="1:9" ht="56.25" x14ac:dyDescent="0.3">
      <c r="A95" s="71">
        <v>14</v>
      </c>
      <c r="B95" s="68" t="s">
        <v>431</v>
      </c>
      <c r="C95" s="8" t="s">
        <v>411</v>
      </c>
      <c r="D95" s="71">
        <v>4002</v>
      </c>
      <c r="E95" s="71">
        <v>3931</v>
      </c>
      <c r="F95" s="71">
        <v>3864</v>
      </c>
      <c r="G95" s="60">
        <v>998955.3</v>
      </c>
      <c r="H95" s="60">
        <v>989146.3</v>
      </c>
      <c r="I95" s="60">
        <v>979783.1</v>
      </c>
    </row>
    <row r="96" spans="1:9" ht="37.5" x14ac:dyDescent="0.3">
      <c r="A96" s="71">
        <v>15</v>
      </c>
      <c r="B96" s="68" t="s">
        <v>432</v>
      </c>
      <c r="C96" s="8" t="s">
        <v>411</v>
      </c>
      <c r="D96" s="71">
        <v>2067</v>
      </c>
      <c r="E96" s="71">
        <v>2067</v>
      </c>
      <c r="F96" s="71">
        <v>2067</v>
      </c>
      <c r="G96" s="60">
        <v>22136.7</v>
      </c>
      <c r="H96" s="60">
        <v>22136.7</v>
      </c>
      <c r="I96" s="60">
        <v>22136.7</v>
      </c>
    </row>
    <row r="97" spans="1:9" ht="56.25" x14ac:dyDescent="0.3">
      <c r="A97" s="71">
        <v>16</v>
      </c>
      <c r="B97" s="68" t="s">
        <v>433</v>
      </c>
      <c r="C97" s="8" t="s">
        <v>411</v>
      </c>
      <c r="D97" s="71">
        <v>621</v>
      </c>
      <c r="E97" s="71">
        <v>631</v>
      </c>
      <c r="F97" s="71">
        <v>620</v>
      </c>
      <c r="G97" s="60">
        <v>144102.9</v>
      </c>
      <c r="H97" s="60">
        <v>146225.29999999999</v>
      </c>
      <c r="I97" s="60">
        <v>144280.1</v>
      </c>
    </row>
    <row r="98" spans="1:9" ht="56.25" x14ac:dyDescent="0.3">
      <c r="A98" s="71">
        <v>17</v>
      </c>
      <c r="B98" s="68" t="s">
        <v>434</v>
      </c>
      <c r="C98" s="8" t="s">
        <v>411</v>
      </c>
      <c r="D98" s="71">
        <v>48</v>
      </c>
      <c r="E98" s="71">
        <v>46</v>
      </c>
      <c r="F98" s="71">
        <v>53</v>
      </c>
      <c r="G98" s="60">
        <v>19332.5</v>
      </c>
      <c r="H98" s="60">
        <v>18527</v>
      </c>
      <c r="I98" s="60">
        <v>21346.3</v>
      </c>
    </row>
    <row r="99" spans="1:9" ht="75" x14ac:dyDescent="0.3">
      <c r="A99" s="71">
        <v>18</v>
      </c>
      <c r="B99" s="68" t="s">
        <v>435</v>
      </c>
      <c r="C99" s="8" t="s">
        <v>411</v>
      </c>
      <c r="D99" s="71">
        <v>10969</v>
      </c>
      <c r="E99" s="71">
        <v>10957</v>
      </c>
      <c r="F99" s="71">
        <v>10949</v>
      </c>
      <c r="G99" s="60">
        <v>16640.599999999999</v>
      </c>
      <c r="H99" s="60">
        <v>16640.599999999999</v>
      </c>
      <c r="I99" s="60">
        <v>16640.599999999999</v>
      </c>
    </row>
    <row r="100" spans="1:9" ht="37.5" x14ac:dyDescent="0.3">
      <c r="A100" s="71">
        <v>19</v>
      </c>
      <c r="B100" s="68" t="s">
        <v>118</v>
      </c>
      <c r="C100" s="8" t="s">
        <v>417</v>
      </c>
      <c r="D100" s="71">
        <f>2</f>
        <v>2</v>
      </c>
      <c r="E100" s="71">
        <f>2</f>
        <v>2</v>
      </c>
      <c r="F100" s="71">
        <f>2</f>
        <v>2</v>
      </c>
      <c r="G100" s="60">
        <f>2940.7</f>
        <v>2940.7</v>
      </c>
      <c r="H100" s="60">
        <f>2940.7</f>
        <v>2940.7</v>
      </c>
      <c r="I100" s="60">
        <f>2940.7</f>
        <v>2940.7</v>
      </c>
    </row>
    <row r="101" spans="1:9" ht="37.5" x14ac:dyDescent="0.3">
      <c r="A101" s="71">
        <v>20</v>
      </c>
      <c r="B101" s="68" t="s">
        <v>436</v>
      </c>
      <c r="C101" s="8" t="s">
        <v>411</v>
      </c>
      <c r="D101" s="71">
        <v>168</v>
      </c>
      <c r="E101" s="71">
        <v>168</v>
      </c>
      <c r="F101" s="71">
        <v>168</v>
      </c>
      <c r="G101" s="60">
        <v>22473.7</v>
      </c>
      <c r="H101" s="60">
        <v>22473.7</v>
      </c>
      <c r="I101" s="60">
        <v>22473.7</v>
      </c>
    </row>
    <row r="102" spans="1:9" ht="37.5" x14ac:dyDescent="0.3">
      <c r="A102" s="71">
        <v>21</v>
      </c>
      <c r="B102" s="68" t="s">
        <v>437</v>
      </c>
      <c r="C102" s="8" t="s">
        <v>411</v>
      </c>
      <c r="D102" s="71">
        <v>54</v>
      </c>
      <c r="E102" s="71">
        <v>54</v>
      </c>
      <c r="F102" s="71">
        <v>54</v>
      </c>
      <c r="G102" s="60">
        <v>7193.9</v>
      </c>
      <c r="H102" s="60">
        <v>7193.9</v>
      </c>
      <c r="I102" s="60">
        <v>7193.9</v>
      </c>
    </row>
    <row r="103" spans="1:9" ht="45" customHeight="1" x14ac:dyDescent="0.3">
      <c r="A103" s="71">
        <v>22</v>
      </c>
      <c r="B103" s="68" t="s">
        <v>110</v>
      </c>
      <c r="C103" s="8" t="s">
        <v>417</v>
      </c>
      <c r="D103" s="71">
        <f>7+1+15</f>
        <v>23</v>
      </c>
      <c r="E103" s="71">
        <f>7+1+15</f>
        <v>23</v>
      </c>
      <c r="F103" s="71">
        <f>7+1+15</f>
        <v>23</v>
      </c>
      <c r="G103" s="60">
        <f>15088+10126.4+25731.3</f>
        <v>50945.7</v>
      </c>
      <c r="H103" s="60">
        <f>15088+10126.4+25731.3</f>
        <v>50945.7</v>
      </c>
      <c r="I103" s="60">
        <f>15088+10126.4+25731.3</f>
        <v>50945.7</v>
      </c>
    </row>
    <row r="104" spans="1:9" ht="18.75" customHeight="1" x14ac:dyDescent="0.3">
      <c r="A104" s="134" t="s">
        <v>438</v>
      </c>
      <c r="B104" s="135"/>
      <c r="C104" s="135"/>
      <c r="D104" s="135"/>
      <c r="E104" s="135"/>
      <c r="F104" s="136"/>
      <c r="G104" s="63">
        <f>SUM(G106:G113)+3751.6</f>
        <v>372682.6</v>
      </c>
      <c r="H104" s="63">
        <f t="shared" ref="H104:I104" si="3">SUM(H106:H113)+3751.6</f>
        <v>356207.7</v>
      </c>
      <c r="I104" s="63">
        <f t="shared" si="3"/>
        <v>356207.7</v>
      </c>
    </row>
    <row r="105" spans="1:9" ht="18.75" customHeight="1" x14ac:dyDescent="0.3">
      <c r="A105" s="131" t="s">
        <v>413</v>
      </c>
      <c r="B105" s="132"/>
      <c r="C105" s="132"/>
      <c r="D105" s="132"/>
      <c r="E105" s="132"/>
      <c r="F105" s="133"/>
      <c r="G105" s="60"/>
      <c r="H105" s="60"/>
      <c r="I105" s="60"/>
    </row>
    <row r="106" spans="1:9" ht="37.5" x14ac:dyDescent="0.3">
      <c r="A106" s="71">
        <v>1</v>
      </c>
      <c r="B106" s="68" t="s">
        <v>107</v>
      </c>
      <c r="C106" s="8" t="s">
        <v>410</v>
      </c>
      <c r="D106" s="72">
        <f>785210+37243+13347</f>
        <v>835800</v>
      </c>
      <c r="E106" s="72">
        <f>785210+37243+13347</f>
        <v>835800</v>
      </c>
      <c r="F106" s="72">
        <f>785210+37243+13347</f>
        <v>835800</v>
      </c>
      <c r="G106" s="60">
        <f>156019.1+7809.7+2669.4</f>
        <v>166498.20000000001</v>
      </c>
      <c r="H106" s="60">
        <f>156019.1+7809.7+2669.4</f>
        <v>166498.20000000001</v>
      </c>
      <c r="I106" s="60">
        <f>156019.1+7809.7+2669.4</f>
        <v>166498.20000000001</v>
      </c>
    </row>
    <row r="107" spans="1:9" ht="37.5" x14ac:dyDescent="0.3">
      <c r="A107" s="71">
        <v>2</v>
      </c>
      <c r="B107" s="68" t="s">
        <v>439</v>
      </c>
      <c r="C107" s="8" t="s">
        <v>410</v>
      </c>
      <c r="D107" s="72">
        <v>25000</v>
      </c>
      <c r="E107" s="72">
        <v>25000</v>
      </c>
      <c r="F107" s="72">
        <v>25000</v>
      </c>
      <c r="G107" s="60">
        <v>2718.5</v>
      </c>
      <c r="H107" s="60">
        <v>2718.5</v>
      </c>
      <c r="I107" s="60">
        <v>2718.5</v>
      </c>
    </row>
    <row r="108" spans="1:9" ht="37.5" x14ac:dyDescent="0.3">
      <c r="A108" s="71">
        <v>3</v>
      </c>
      <c r="B108" s="68" t="s">
        <v>27</v>
      </c>
      <c r="C108" s="8" t="s">
        <v>417</v>
      </c>
      <c r="D108" s="71">
        <f>181+10+1</f>
        <v>192</v>
      </c>
      <c r="E108" s="71">
        <f>181+10+1</f>
        <v>192</v>
      </c>
      <c r="F108" s="71">
        <f>181+10+1</f>
        <v>192</v>
      </c>
      <c r="G108" s="60">
        <f>41197+7846.7+536.8</f>
        <v>49580.5</v>
      </c>
      <c r="H108" s="60">
        <f>41197+6347.4+283.3</f>
        <v>47827.700000000004</v>
      </c>
      <c r="I108" s="60">
        <f>41197+6347.4+283.3</f>
        <v>47827.700000000004</v>
      </c>
    </row>
    <row r="109" spans="1:9" ht="37.5" x14ac:dyDescent="0.3">
      <c r="A109" s="71">
        <v>4</v>
      </c>
      <c r="B109" s="68" t="s">
        <v>104</v>
      </c>
      <c r="C109" s="8" t="s">
        <v>440</v>
      </c>
      <c r="D109" s="71">
        <v>7</v>
      </c>
      <c r="E109" s="71">
        <v>7</v>
      </c>
      <c r="F109" s="71">
        <v>7</v>
      </c>
      <c r="G109" s="60">
        <v>11626.4</v>
      </c>
      <c r="H109" s="60">
        <v>11626.4</v>
      </c>
      <c r="I109" s="60">
        <v>11626.4</v>
      </c>
    </row>
    <row r="110" spans="1:9" ht="56.25" x14ac:dyDescent="0.3">
      <c r="A110" s="71">
        <v>5</v>
      </c>
      <c r="B110" s="68" t="s">
        <v>109</v>
      </c>
      <c r="C110" s="8" t="s">
        <v>419</v>
      </c>
      <c r="D110" s="71">
        <f>34+1+11+1+5</f>
        <v>52</v>
      </c>
      <c r="E110" s="71">
        <f>31+1+11+1+4</f>
        <v>48</v>
      </c>
      <c r="F110" s="71">
        <f>31+1+11+1+4</f>
        <v>48</v>
      </c>
      <c r="G110" s="60">
        <f>24353.5+576.9+1519.7+232.9+5096.9</f>
        <v>31779.9</v>
      </c>
      <c r="H110" s="60">
        <f>13139.9+576.9+1519.7+232.9+1588.4</f>
        <v>17057.8</v>
      </c>
      <c r="I110" s="60">
        <f>13139.9+576.9+1519.7+232.9+1588.4</f>
        <v>17057.8</v>
      </c>
    </row>
    <row r="111" spans="1:9" ht="37.5" x14ac:dyDescent="0.3">
      <c r="A111" s="71">
        <v>6</v>
      </c>
      <c r="B111" s="68" t="s">
        <v>97</v>
      </c>
      <c r="C111" s="8" t="s">
        <v>419</v>
      </c>
      <c r="D111" s="71">
        <f>254+78+47+32</f>
        <v>411</v>
      </c>
      <c r="E111" s="71">
        <f>254+78+47+32</f>
        <v>411</v>
      </c>
      <c r="F111" s="71">
        <f>254+78+47+32</f>
        <v>411</v>
      </c>
      <c r="G111" s="60">
        <f>49077.5+28740.6+14396.7+6029.8</f>
        <v>98244.6</v>
      </c>
      <c r="H111" s="60">
        <f>49077.5+28740.6+14396.7+6029.8</f>
        <v>98244.6</v>
      </c>
      <c r="I111" s="60">
        <f>49077.5+28740.6+14396.7+6029.8</f>
        <v>98244.6</v>
      </c>
    </row>
    <row r="112" spans="1:9" ht="56.25" x14ac:dyDescent="0.3">
      <c r="A112" s="71">
        <v>7</v>
      </c>
      <c r="B112" s="68" t="s">
        <v>118</v>
      </c>
      <c r="C112" s="8" t="s">
        <v>441</v>
      </c>
      <c r="D112" s="71">
        <v>13</v>
      </c>
      <c r="E112" s="71">
        <v>13</v>
      </c>
      <c r="F112" s="71">
        <v>13</v>
      </c>
      <c r="G112" s="60">
        <v>1811.2</v>
      </c>
      <c r="H112" s="60">
        <v>1811.2</v>
      </c>
      <c r="I112" s="60">
        <v>1811.2</v>
      </c>
    </row>
    <row r="113" spans="1:9" ht="37.5" x14ac:dyDescent="0.3">
      <c r="A113" s="71">
        <v>8</v>
      </c>
      <c r="B113" s="68" t="s">
        <v>110</v>
      </c>
      <c r="C113" s="8" t="s">
        <v>419</v>
      </c>
      <c r="D113" s="71">
        <v>1</v>
      </c>
      <c r="E113" s="71">
        <v>1</v>
      </c>
      <c r="F113" s="71">
        <v>1</v>
      </c>
      <c r="G113" s="60">
        <v>6671.7</v>
      </c>
      <c r="H113" s="60">
        <v>6671.7</v>
      </c>
      <c r="I113" s="60">
        <v>6671.7</v>
      </c>
    </row>
    <row r="114" spans="1:9" ht="47.25" customHeight="1" x14ac:dyDescent="0.3">
      <c r="A114" s="134" t="s">
        <v>442</v>
      </c>
      <c r="B114" s="135"/>
      <c r="C114" s="135"/>
      <c r="D114" s="135"/>
      <c r="E114" s="135"/>
      <c r="F114" s="136"/>
      <c r="G114" s="63">
        <f>G116</f>
        <v>0</v>
      </c>
      <c r="H114" s="63">
        <f t="shared" ref="H114:I114" si="4">H116</f>
        <v>458</v>
      </c>
      <c r="I114" s="63">
        <f t="shared" si="4"/>
        <v>0</v>
      </c>
    </row>
    <row r="115" spans="1:9" ht="18.75" customHeight="1" x14ac:dyDescent="0.3">
      <c r="A115" s="131" t="s">
        <v>413</v>
      </c>
      <c r="B115" s="132"/>
      <c r="C115" s="132"/>
      <c r="D115" s="132"/>
      <c r="E115" s="132"/>
      <c r="F115" s="133"/>
      <c r="G115" s="60"/>
      <c r="H115" s="60"/>
      <c r="I115" s="60"/>
    </row>
    <row r="116" spans="1:9" ht="56.25" x14ac:dyDescent="0.3">
      <c r="A116" s="71">
        <v>1</v>
      </c>
      <c r="B116" s="68" t="s">
        <v>102</v>
      </c>
      <c r="C116" s="8" t="s">
        <v>417</v>
      </c>
      <c r="D116" s="49"/>
      <c r="E116" s="49">
        <v>1</v>
      </c>
      <c r="F116" s="49"/>
      <c r="G116" s="60"/>
      <c r="H116" s="60">
        <f>G116+458</f>
        <v>458</v>
      </c>
      <c r="I116" s="60"/>
    </row>
    <row r="117" spans="1:9" ht="18.75" customHeight="1" x14ac:dyDescent="0.3">
      <c r="A117" s="134" t="s">
        <v>443</v>
      </c>
      <c r="B117" s="135"/>
      <c r="C117" s="135"/>
      <c r="D117" s="135"/>
      <c r="E117" s="135"/>
      <c r="F117" s="136"/>
      <c r="G117" s="63">
        <f>SUM(G119:G120)+7915.6</f>
        <v>142623</v>
      </c>
      <c r="H117" s="63">
        <f>SUM(H119:H120)+8035.2</f>
        <v>142742.6</v>
      </c>
      <c r="I117" s="63">
        <f>SUM(I119:I120)+8035.2</f>
        <v>142742.6</v>
      </c>
    </row>
    <row r="118" spans="1:9" ht="18.75" customHeight="1" x14ac:dyDescent="0.3">
      <c r="A118" s="131" t="s">
        <v>413</v>
      </c>
      <c r="B118" s="132"/>
      <c r="C118" s="132"/>
      <c r="D118" s="132"/>
      <c r="E118" s="132"/>
      <c r="F118" s="133"/>
      <c r="G118" s="63"/>
      <c r="H118" s="63"/>
      <c r="I118" s="63"/>
    </row>
    <row r="119" spans="1:9" x14ac:dyDescent="0.3">
      <c r="A119" s="71">
        <v>1</v>
      </c>
      <c r="B119" s="68" t="s">
        <v>444</v>
      </c>
      <c r="C119" s="8" t="s">
        <v>445</v>
      </c>
      <c r="D119" s="51">
        <v>2170</v>
      </c>
      <c r="E119" s="51">
        <v>2170</v>
      </c>
      <c r="F119" s="51">
        <v>2170</v>
      </c>
      <c r="G119" s="60">
        <v>86226.3</v>
      </c>
      <c r="H119" s="60">
        <v>86226.3</v>
      </c>
      <c r="I119" s="60">
        <v>86226.3</v>
      </c>
    </row>
    <row r="120" spans="1:9" ht="37.5" x14ac:dyDescent="0.3">
      <c r="A120" s="71">
        <v>2</v>
      </c>
      <c r="B120" s="68" t="s">
        <v>94</v>
      </c>
      <c r="C120" s="8" t="s">
        <v>417</v>
      </c>
      <c r="D120" s="51">
        <v>32</v>
      </c>
      <c r="E120" s="51">
        <v>32</v>
      </c>
      <c r="F120" s="51">
        <v>32</v>
      </c>
      <c r="G120" s="60">
        <v>48481.1</v>
      </c>
      <c r="H120" s="60">
        <v>48481.1</v>
      </c>
      <c r="I120" s="60">
        <v>48481.1</v>
      </c>
    </row>
    <row r="121" spans="1:9" s="65" customFormat="1" x14ac:dyDescent="0.3">
      <c r="A121" s="161" t="s">
        <v>11</v>
      </c>
      <c r="B121" s="162"/>
      <c r="C121" s="162"/>
      <c r="D121" s="162"/>
      <c r="E121" s="162"/>
      <c r="F121" s="163"/>
      <c r="G121" s="78">
        <f>G122+G135+G139</f>
        <v>10504284.699999999</v>
      </c>
      <c r="H121" s="78">
        <f t="shared" ref="H121:I121" si="5">H122+H135+H139</f>
        <v>10455355.800000001</v>
      </c>
      <c r="I121" s="78">
        <f t="shared" si="5"/>
        <v>10455355.800000001</v>
      </c>
    </row>
    <row r="122" spans="1:9" s="65" customFormat="1" x14ac:dyDescent="0.3">
      <c r="A122" s="134" t="s">
        <v>446</v>
      </c>
      <c r="B122" s="135"/>
      <c r="C122" s="135"/>
      <c r="D122" s="135"/>
      <c r="E122" s="135"/>
      <c r="F122" s="136"/>
      <c r="G122" s="75">
        <f>SUM(G124:G134)</f>
        <v>10502134.1</v>
      </c>
      <c r="H122" s="75">
        <f t="shared" ref="H122:I122" si="6">SUM(H124:H134)</f>
        <v>10453205.200000001</v>
      </c>
      <c r="I122" s="75">
        <f t="shared" si="6"/>
        <v>10453205.200000001</v>
      </c>
    </row>
    <row r="123" spans="1:9" x14ac:dyDescent="0.3">
      <c r="A123" s="131" t="s">
        <v>447</v>
      </c>
      <c r="B123" s="132"/>
      <c r="C123" s="132"/>
      <c r="D123" s="132"/>
      <c r="E123" s="132"/>
      <c r="F123" s="133"/>
      <c r="G123" s="2"/>
      <c r="H123" s="2"/>
      <c r="I123" s="2"/>
    </row>
    <row r="124" spans="1:9" ht="63" customHeight="1" x14ac:dyDescent="0.3">
      <c r="A124" s="74">
        <v>1</v>
      </c>
      <c r="B124" s="73" t="s">
        <v>448</v>
      </c>
      <c r="C124" s="8" t="s">
        <v>449</v>
      </c>
      <c r="D124" s="51">
        <f>13669-96</f>
        <v>13573</v>
      </c>
      <c r="E124" s="51">
        <f>13669-96</f>
        <v>13573</v>
      </c>
      <c r="F124" s="51">
        <f>13669-96</f>
        <v>13573</v>
      </c>
      <c r="G124" s="61">
        <f>3925799.8-29644.7</f>
        <v>3896155.0999999996</v>
      </c>
      <c r="H124" s="61">
        <f>3904969-29644.7</f>
        <v>3875324.3</v>
      </c>
      <c r="I124" s="61">
        <f>3904969-29644.7</f>
        <v>3875324.3</v>
      </c>
    </row>
    <row r="125" spans="1:9" ht="60.75" customHeight="1" x14ac:dyDescent="0.3">
      <c r="A125" s="74">
        <v>2</v>
      </c>
      <c r="B125" s="73" t="s">
        <v>450</v>
      </c>
      <c r="C125" s="8" t="s">
        <v>449</v>
      </c>
      <c r="D125" s="51">
        <v>155593</v>
      </c>
      <c r="E125" s="51">
        <v>155593</v>
      </c>
      <c r="F125" s="51">
        <v>155593</v>
      </c>
      <c r="G125" s="61">
        <v>2564040.9</v>
      </c>
      <c r="H125" s="61">
        <v>2550435.7000000002</v>
      </c>
      <c r="I125" s="61">
        <v>2550435.7000000002</v>
      </c>
    </row>
    <row r="126" spans="1:9" ht="59.25" customHeight="1" x14ac:dyDescent="0.3">
      <c r="A126" s="74">
        <v>3</v>
      </c>
      <c r="B126" s="73" t="s">
        <v>451</v>
      </c>
      <c r="C126" s="8" t="s">
        <v>449</v>
      </c>
      <c r="D126" s="51">
        <v>19327</v>
      </c>
      <c r="E126" s="51">
        <v>19327</v>
      </c>
      <c r="F126" s="51">
        <v>19327</v>
      </c>
      <c r="G126" s="61">
        <v>1946010.7</v>
      </c>
      <c r="H126" s="61">
        <v>1935684.9</v>
      </c>
      <c r="I126" s="61">
        <v>1935684.9</v>
      </c>
    </row>
    <row r="127" spans="1:9" ht="62.25" customHeight="1" x14ac:dyDescent="0.3">
      <c r="A127" s="74">
        <v>4</v>
      </c>
      <c r="B127" s="73" t="s">
        <v>452</v>
      </c>
      <c r="C127" s="8" t="s">
        <v>449</v>
      </c>
      <c r="D127" s="51">
        <v>24000</v>
      </c>
      <c r="E127" s="51">
        <v>24000</v>
      </c>
      <c r="F127" s="51">
        <v>24000</v>
      </c>
      <c r="G127" s="61">
        <v>83291.7</v>
      </c>
      <c r="H127" s="61">
        <v>82849.8</v>
      </c>
      <c r="I127" s="61">
        <v>82849.8</v>
      </c>
    </row>
    <row r="128" spans="1:9" x14ac:dyDescent="0.3">
      <c r="A128" s="74">
        <v>5</v>
      </c>
      <c r="B128" s="73" t="s">
        <v>444</v>
      </c>
      <c r="C128" s="8" t="s">
        <v>459</v>
      </c>
      <c r="D128" s="51">
        <v>4605</v>
      </c>
      <c r="E128" s="51">
        <v>4605</v>
      </c>
      <c r="F128" s="51">
        <v>4605</v>
      </c>
      <c r="G128" s="61">
        <v>164198.29999999999</v>
      </c>
      <c r="H128" s="61">
        <v>163327.1</v>
      </c>
      <c r="I128" s="61">
        <v>163327.1</v>
      </c>
    </row>
    <row r="129" spans="1:9" ht="37.5" x14ac:dyDescent="0.3">
      <c r="A129" s="74">
        <v>6</v>
      </c>
      <c r="B129" s="73" t="s">
        <v>453</v>
      </c>
      <c r="C129" s="8" t="s">
        <v>460</v>
      </c>
      <c r="D129" s="51">
        <v>204337</v>
      </c>
      <c r="E129" s="51">
        <v>204337</v>
      </c>
      <c r="F129" s="51">
        <v>204337</v>
      </c>
      <c r="G129" s="61">
        <v>537861</v>
      </c>
      <c r="H129" s="61">
        <v>535007</v>
      </c>
      <c r="I129" s="61">
        <v>535007</v>
      </c>
    </row>
    <row r="130" spans="1:9" ht="93.75" x14ac:dyDescent="0.3">
      <c r="A130" s="74">
        <v>7</v>
      </c>
      <c r="B130" s="73" t="s">
        <v>454</v>
      </c>
      <c r="C130" s="8" t="s">
        <v>461</v>
      </c>
      <c r="D130" s="51">
        <v>635000</v>
      </c>
      <c r="E130" s="51">
        <v>635000</v>
      </c>
      <c r="F130" s="51">
        <v>635000</v>
      </c>
      <c r="G130" s="61">
        <v>210369.7</v>
      </c>
      <c r="H130" s="61">
        <v>210369.7</v>
      </c>
      <c r="I130" s="61">
        <v>210369.7</v>
      </c>
    </row>
    <row r="131" spans="1:9" ht="75" x14ac:dyDescent="0.3">
      <c r="A131" s="74">
        <v>8</v>
      </c>
      <c r="B131" s="73" t="s">
        <v>455</v>
      </c>
      <c r="C131" s="8" t="s">
        <v>461</v>
      </c>
      <c r="D131" s="51">
        <v>2535200</v>
      </c>
      <c r="E131" s="51">
        <v>2535200</v>
      </c>
      <c r="F131" s="51">
        <v>2535200</v>
      </c>
      <c r="G131" s="61">
        <v>896766.79999999993</v>
      </c>
      <c r="H131" s="61">
        <v>896766.79999999993</v>
      </c>
      <c r="I131" s="61">
        <v>896766.79999999993</v>
      </c>
    </row>
    <row r="132" spans="1:9" ht="75" x14ac:dyDescent="0.3">
      <c r="A132" s="74">
        <v>9</v>
      </c>
      <c r="B132" s="73" t="s">
        <v>456</v>
      </c>
      <c r="C132" s="8" t="s">
        <v>461</v>
      </c>
      <c r="D132" s="51">
        <v>50400</v>
      </c>
      <c r="E132" s="51">
        <v>50400</v>
      </c>
      <c r="F132" s="51">
        <v>50400</v>
      </c>
      <c r="G132" s="61">
        <v>16697</v>
      </c>
      <c r="H132" s="61">
        <v>16697</v>
      </c>
      <c r="I132" s="61">
        <v>16697</v>
      </c>
    </row>
    <row r="133" spans="1:9" ht="75" x14ac:dyDescent="0.3">
      <c r="A133" s="74">
        <v>10</v>
      </c>
      <c r="B133" s="73" t="s">
        <v>457</v>
      </c>
      <c r="C133" s="8" t="s">
        <v>461</v>
      </c>
      <c r="D133" s="51">
        <v>343800</v>
      </c>
      <c r="E133" s="51">
        <v>343800</v>
      </c>
      <c r="F133" s="51">
        <v>343800</v>
      </c>
      <c r="G133" s="61">
        <v>121611.1</v>
      </c>
      <c r="H133" s="61">
        <v>121611.1</v>
      </c>
      <c r="I133" s="61">
        <v>121611.1</v>
      </c>
    </row>
    <row r="134" spans="1:9" ht="93.75" x14ac:dyDescent="0.3">
      <c r="A134" s="74">
        <v>11</v>
      </c>
      <c r="B134" s="73" t="s">
        <v>458</v>
      </c>
      <c r="C134" s="8" t="s">
        <v>462</v>
      </c>
      <c r="D134" s="51">
        <v>196600</v>
      </c>
      <c r="E134" s="51">
        <v>196600</v>
      </c>
      <c r="F134" s="51">
        <v>196600</v>
      </c>
      <c r="G134" s="61">
        <v>65131.8</v>
      </c>
      <c r="H134" s="61">
        <v>65131.8</v>
      </c>
      <c r="I134" s="61">
        <v>65131.8</v>
      </c>
    </row>
    <row r="135" spans="1:9" x14ac:dyDescent="0.3">
      <c r="A135" s="134" t="s">
        <v>463</v>
      </c>
      <c r="B135" s="135"/>
      <c r="C135" s="135"/>
      <c r="D135" s="135"/>
      <c r="E135" s="135"/>
      <c r="F135" s="136"/>
      <c r="G135" s="64">
        <f>G137</f>
        <v>1834.4</v>
      </c>
      <c r="H135" s="64">
        <f t="shared" ref="H135:I135" si="7">H137</f>
        <v>1834.4</v>
      </c>
      <c r="I135" s="64">
        <f t="shared" si="7"/>
        <v>1834.4</v>
      </c>
    </row>
    <row r="136" spans="1:9" x14ac:dyDescent="0.3">
      <c r="A136" s="131" t="s">
        <v>464</v>
      </c>
      <c r="B136" s="132"/>
      <c r="C136" s="132"/>
      <c r="D136" s="132"/>
      <c r="E136" s="132"/>
      <c r="F136" s="133"/>
      <c r="G136" s="2"/>
      <c r="H136" s="2"/>
      <c r="I136" s="2"/>
    </row>
    <row r="137" spans="1:9" ht="56.25" x14ac:dyDescent="0.3">
      <c r="A137" s="76">
        <v>12</v>
      </c>
      <c r="B137" s="77" t="s">
        <v>465</v>
      </c>
      <c r="C137" s="8" t="s">
        <v>292</v>
      </c>
      <c r="D137" s="51">
        <v>1</v>
      </c>
      <c r="E137" s="51">
        <v>1</v>
      </c>
      <c r="F137" s="51">
        <v>1</v>
      </c>
      <c r="G137" s="61">
        <v>1834.4</v>
      </c>
      <c r="H137" s="61">
        <v>1834.4</v>
      </c>
      <c r="I137" s="61">
        <v>1834.4</v>
      </c>
    </row>
    <row r="138" spans="1:9" ht="39" customHeight="1" x14ac:dyDescent="0.3">
      <c r="A138" s="134" t="s">
        <v>466</v>
      </c>
      <c r="B138" s="135"/>
      <c r="C138" s="135"/>
      <c r="D138" s="135"/>
      <c r="E138" s="135"/>
      <c r="F138" s="136"/>
      <c r="G138" s="2"/>
      <c r="H138" s="2"/>
      <c r="I138" s="2"/>
    </row>
    <row r="139" spans="1:9" x14ac:dyDescent="0.3">
      <c r="A139" s="2" t="s">
        <v>464</v>
      </c>
      <c r="B139" s="2"/>
      <c r="C139" s="2"/>
      <c r="D139" s="53"/>
      <c r="E139" s="53"/>
      <c r="F139" s="53"/>
      <c r="G139" s="64">
        <f>G140</f>
        <v>316.2</v>
      </c>
      <c r="H139" s="64">
        <f t="shared" ref="H139:I139" si="8">H140</f>
        <v>316.2</v>
      </c>
      <c r="I139" s="64">
        <f t="shared" si="8"/>
        <v>316.2</v>
      </c>
    </row>
    <row r="140" spans="1:9" ht="37.5" x14ac:dyDescent="0.3">
      <c r="A140" s="74">
        <v>13</v>
      </c>
      <c r="B140" s="73" t="s">
        <v>289</v>
      </c>
      <c r="C140" s="8" t="s">
        <v>292</v>
      </c>
      <c r="D140" s="51">
        <v>1</v>
      </c>
      <c r="E140" s="51">
        <v>1</v>
      </c>
      <c r="F140" s="51">
        <v>1</v>
      </c>
      <c r="G140" s="61">
        <v>316.2</v>
      </c>
      <c r="H140" s="61">
        <v>316.2</v>
      </c>
      <c r="I140" s="61">
        <v>316.2</v>
      </c>
    </row>
    <row r="141" spans="1:9" x14ac:dyDescent="0.3">
      <c r="A141" s="156" t="s">
        <v>12</v>
      </c>
      <c r="B141" s="157"/>
      <c r="C141" s="157"/>
      <c r="D141" s="157"/>
      <c r="E141" s="157"/>
      <c r="F141" s="158"/>
      <c r="G141" s="5">
        <f>G142</f>
        <v>25063</v>
      </c>
      <c r="H141" s="5">
        <f t="shared" ref="H141:I141" si="9">H142</f>
        <v>18853.400000000001</v>
      </c>
      <c r="I141" s="5">
        <f t="shared" si="9"/>
        <v>18853.400000000001</v>
      </c>
    </row>
    <row r="142" spans="1:9" x14ac:dyDescent="0.3">
      <c r="A142" s="134" t="s">
        <v>38</v>
      </c>
      <c r="B142" s="135"/>
      <c r="C142" s="135"/>
      <c r="D142" s="135"/>
      <c r="E142" s="135"/>
      <c r="F142" s="136"/>
      <c r="G142" s="79">
        <f>SUM(G144:G147)</f>
        <v>25063</v>
      </c>
      <c r="H142" s="79">
        <f t="shared" ref="H142:I142" si="10">SUM(H144:H147)</f>
        <v>18853.400000000001</v>
      </c>
      <c r="I142" s="79">
        <f t="shared" si="10"/>
        <v>18853.400000000001</v>
      </c>
    </row>
    <row r="143" spans="1:9" ht="18.75" customHeight="1" x14ac:dyDescent="0.3">
      <c r="A143" s="131" t="s">
        <v>117</v>
      </c>
      <c r="B143" s="132"/>
      <c r="C143" s="132"/>
      <c r="D143" s="132"/>
      <c r="E143" s="132"/>
      <c r="F143" s="133"/>
      <c r="G143" s="5"/>
      <c r="H143" s="5"/>
      <c r="I143" s="5"/>
    </row>
    <row r="144" spans="1:9" ht="37.5" x14ac:dyDescent="0.3">
      <c r="A144" s="54" t="s">
        <v>120</v>
      </c>
      <c r="B144" s="10" t="s">
        <v>118</v>
      </c>
      <c r="C144" s="31" t="s">
        <v>119</v>
      </c>
      <c r="D144" s="36">
        <v>25000</v>
      </c>
      <c r="E144" s="36">
        <v>25000</v>
      </c>
      <c r="F144" s="36">
        <v>25000</v>
      </c>
      <c r="G144" s="50">
        <v>18853.400000000001</v>
      </c>
      <c r="H144" s="50">
        <v>18853.400000000001</v>
      </c>
      <c r="I144" s="50">
        <v>18853.400000000001</v>
      </c>
    </row>
    <row r="145" spans="1:9" ht="45.75" customHeight="1" x14ac:dyDescent="0.3">
      <c r="A145" s="172">
        <v>2</v>
      </c>
      <c r="B145" s="178" t="s">
        <v>121</v>
      </c>
      <c r="C145" s="31" t="s">
        <v>122</v>
      </c>
      <c r="D145" s="36">
        <v>1000</v>
      </c>
      <c r="E145" s="36" t="s">
        <v>123</v>
      </c>
      <c r="F145" s="36" t="s">
        <v>123</v>
      </c>
      <c r="G145" s="175">
        <v>6209.6</v>
      </c>
      <c r="H145" s="169"/>
      <c r="I145" s="169"/>
    </row>
    <row r="146" spans="1:9" ht="203.25" customHeight="1" x14ac:dyDescent="0.3">
      <c r="A146" s="173"/>
      <c r="B146" s="179"/>
      <c r="C146" s="31" t="s">
        <v>124</v>
      </c>
      <c r="D146" s="36">
        <v>24</v>
      </c>
      <c r="E146" s="36" t="s">
        <v>123</v>
      </c>
      <c r="F146" s="36" t="s">
        <v>123</v>
      </c>
      <c r="G146" s="176"/>
      <c r="H146" s="169"/>
      <c r="I146" s="169"/>
    </row>
    <row r="147" spans="1:9" ht="128.25" customHeight="1" x14ac:dyDescent="0.3">
      <c r="A147" s="174"/>
      <c r="B147" s="180"/>
      <c r="C147" s="31" t="s">
        <v>125</v>
      </c>
      <c r="D147" s="36">
        <v>7</v>
      </c>
      <c r="E147" s="36" t="s">
        <v>123</v>
      </c>
      <c r="F147" s="36" t="s">
        <v>123</v>
      </c>
      <c r="G147" s="177"/>
      <c r="H147" s="169"/>
      <c r="I147" s="169"/>
    </row>
    <row r="148" spans="1:9" ht="18.75" customHeight="1" x14ac:dyDescent="0.3">
      <c r="A148" s="156" t="s">
        <v>13</v>
      </c>
      <c r="B148" s="157"/>
      <c r="C148" s="157"/>
      <c r="D148" s="157"/>
      <c r="E148" s="157"/>
      <c r="F148" s="158"/>
      <c r="G148" s="48">
        <f>G149+G153</f>
        <v>413988.20000000013</v>
      </c>
      <c r="H148" s="48">
        <f t="shared" ref="H148:I148" si="11">H149+H153</f>
        <v>340646.18</v>
      </c>
      <c r="I148" s="48">
        <f t="shared" si="11"/>
        <v>340646.2</v>
      </c>
    </row>
    <row r="149" spans="1:9" ht="39.75" customHeight="1" x14ac:dyDescent="0.3">
      <c r="A149" s="134" t="s">
        <v>140</v>
      </c>
      <c r="B149" s="135"/>
      <c r="C149" s="135"/>
      <c r="D149" s="135"/>
      <c r="E149" s="135"/>
      <c r="F149" s="136"/>
      <c r="G149" s="81">
        <f>SUM(G151:G152)</f>
        <v>4314.8</v>
      </c>
      <c r="H149" s="81">
        <f t="shared" ref="H149:I149" si="12">SUM(H151:H152)</f>
        <v>4314.8</v>
      </c>
      <c r="I149" s="81">
        <f t="shared" si="12"/>
        <v>4314.8</v>
      </c>
    </row>
    <row r="150" spans="1:9" ht="18.75" customHeight="1" x14ac:dyDescent="0.3">
      <c r="A150" s="131" t="s">
        <v>141</v>
      </c>
      <c r="B150" s="132"/>
      <c r="C150" s="132"/>
      <c r="D150" s="132"/>
      <c r="E150" s="132"/>
      <c r="F150" s="133"/>
      <c r="G150" s="2"/>
      <c r="H150" s="2"/>
      <c r="I150" s="2"/>
    </row>
    <row r="151" spans="1:9" ht="56.25" x14ac:dyDescent="0.3">
      <c r="A151" s="54">
        <v>1</v>
      </c>
      <c r="B151" s="10" t="s">
        <v>142</v>
      </c>
      <c r="C151" s="31" t="s">
        <v>143</v>
      </c>
      <c r="D151" s="36">
        <v>2800</v>
      </c>
      <c r="E151" s="36">
        <v>2800</v>
      </c>
      <c r="F151" s="36">
        <v>2800</v>
      </c>
      <c r="G151" s="50">
        <v>1483.2</v>
      </c>
      <c r="H151" s="50">
        <v>1483.2</v>
      </c>
      <c r="I151" s="50">
        <v>1483.2</v>
      </c>
    </row>
    <row r="152" spans="1:9" ht="56.25" x14ac:dyDescent="0.3">
      <c r="A152" s="54">
        <v>2</v>
      </c>
      <c r="B152" s="10" t="s">
        <v>144</v>
      </c>
      <c r="C152" s="31" t="s">
        <v>145</v>
      </c>
      <c r="D152" s="36">
        <v>34</v>
      </c>
      <c r="E152" s="36">
        <v>35</v>
      </c>
      <c r="F152" s="36">
        <v>35</v>
      </c>
      <c r="G152" s="44">
        <v>2831.6</v>
      </c>
      <c r="H152" s="55">
        <v>2831.6</v>
      </c>
      <c r="I152" s="55">
        <v>2831.6</v>
      </c>
    </row>
    <row r="153" spans="1:9" x14ac:dyDescent="0.3">
      <c r="A153" s="131" t="s">
        <v>146</v>
      </c>
      <c r="B153" s="132"/>
      <c r="C153" s="132"/>
      <c r="D153" s="132"/>
      <c r="E153" s="132"/>
      <c r="F153" s="133"/>
      <c r="G153" s="81">
        <f>SUM(G155:G210)</f>
        <v>409673.40000000014</v>
      </c>
      <c r="H153" s="81">
        <f t="shared" ref="H153:I153" si="13">SUM(H155:H210)</f>
        <v>336331.38</v>
      </c>
      <c r="I153" s="81">
        <f t="shared" si="13"/>
        <v>336331.4</v>
      </c>
    </row>
    <row r="154" spans="1:9" x14ac:dyDescent="0.3">
      <c r="A154" s="131" t="s">
        <v>141</v>
      </c>
      <c r="B154" s="132"/>
      <c r="C154" s="132"/>
      <c r="D154" s="132"/>
      <c r="E154" s="132"/>
      <c r="F154" s="133"/>
      <c r="G154" s="12"/>
      <c r="H154" s="12"/>
      <c r="I154" s="12"/>
    </row>
    <row r="155" spans="1:9" ht="155.25" customHeight="1" x14ac:dyDescent="0.3">
      <c r="A155" s="181">
        <v>1</v>
      </c>
      <c r="B155" s="184" t="s">
        <v>147</v>
      </c>
      <c r="C155" s="31" t="s">
        <v>148</v>
      </c>
      <c r="D155" s="36">
        <f>3+4</f>
        <v>7</v>
      </c>
      <c r="E155" s="36">
        <f>D155</f>
        <v>7</v>
      </c>
      <c r="F155" s="36">
        <f>E155</f>
        <v>7</v>
      </c>
      <c r="G155" s="175">
        <f>86.51+1388.55</f>
        <v>1475.06</v>
      </c>
      <c r="H155" s="175">
        <f>86.51+1390.36</f>
        <v>1476.87</v>
      </c>
      <c r="I155" s="175">
        <f>86.51+1392.18</f>
        <v>1478.69</v>
      </c>
    </row>
    <row r="156" spans="1:9" ht="27" customHeight="1" x14ac:dyDescent="0.3">
      <c r="A156" s="182"/>
      <c r="B156" s="185"/>
      <c r="C156" s="31" t="s">
        <v>149</v>
      </c>
      <c r="D156" s="36">
        <v>555</v>
      </c>
      <c r="E156" s="36">
        <v>558</v>
      </c>
      <c r="F156" s="36">
        <v>561</v>
      </c>
      <c r="G156" s="176"/>
      <c r="H156" s="176"/>
      <c r="I156" s="176"/>
    </row>
    <row r="157" spans="1:9" ht="45" customHeight="1" x14ac:dyDescent="0.3">
      <c r="A157" s="183"/>
      <c r="B157" s="186"/>
      <c r="C157" s="31" t="s">
        <v>150</v>
      </c>
      <c r="D157" s="36">
        <v>7</v>
      </c>
      <c r="E157" s="36">
        <v>7</v>
      </c>
      <c r="F157" s="36">
        <v>7</v>
      </c>
      <c r="G157" s="177"/>
      <c r="H157" s="177"/>
      <c r="I157" s="177"/>
    </row>
    <row r="158" spans="1:9" ht="21.75" customHeight="1" x14ac:dyDescent="0.3">
      <c r="A158" s="181">
        <v>2</v>
      </c>
      <c r="B158" s="184" t="s">
        <v>151</v>
      </c>
      <c r="C158" s="31" t="s">
        <v>152</v>
      </c>
      <c r="D158" s="36">
        <v>525</v>
      </c>
      <c r="E158" s="36">
        <v>525</v>
      </c>
      <c r="F158" s="36">
        <v>525</v>
      </c>
      <c r="G158" s="175">
        <f>46109.34+2197.95</f>
        <v>48307.289999999994</v>
      </c>
      <c r="H158" s="175">
        <f>46109.38+2188.63</f>
        <v>48298.009999999995</v>
      </c>
      <c r="I158" s="175">
        <f>46109.34+2199.77</f>
        <v>48309.109999999993</v>
      </c>
    </row>
    <row r="159" spans="1:9" ht="37.5" x14ac:dyDescent="0.3">
      <c r="A159" s="182"/>
      <c r="B159" s="185"/>
      <c r="C159" s="31" t="s">
        <v>153</v>
      </c>
      <c r="D159" s="37">
        <v>13.8</v>
      </c>
      <c r="E159" s="37">
        <v>13.8</v>
      </c>
      <c r="F159" s="37">
        <v>13.8</v>
      </c>
      <c r="G159" s="176"/>
      <c r="H159" s="176"/>
      <c r="I159" s="176"/>
    </row>
    <row r="160" spans="1:9" ht="24.75" customHeight="1" x14ac:dyDescent="0.3">
      <c r="A160" s="182"/>
      <c r="B160" s="185"/>
      <c r="C160" s="166" t="s">
        <v>154</v>
      </c>
      <c r="D160" s="37">
        <f>171.4+1.1</f>
        <v>172.5</v>
      </c>
      <c r="E160" s="37">
        <f>171.4+1.1</f>
        <v>172.5</v>
      </c>
      <c r="F160" s="37">
        <f>171.4+1.1</f>
        <v>172.5</v>
      </c>
      <c r="G160" s="176"/>
      <c r="H160" s="176"/>
      <c r="I160" s="176"/>
    </row>
    <row r="161" spans="1:9" x14ac:dyDescent="0.3">
      <c r="A161" s="182"/>
      <c r="B161" s="185"/>
      <c r="C161" s="168"/>
      <c r="D161" s="36">
        <v>53.6</v>
      </c>
      <c r="E161" s="36">
        <v>53.6</v>
      </c>
      <c r="F161" s="36">
        <v>53.6</v>
      </c>
      <c r="G161" s="176"/>
      <c r="H161" s="176"/>
      <c r="I161" s="176"/>
    </row>
    <row r="162" spans="1:9" ht="40.5" customHeight="1" x14ac:dyDescent="0.3">
      <c r="A162" s="182"/>
      <c r="B162" s="185"/>
      <c r="C162" s="31" t="s">
        <v>155</v>
      </c>
      <c r="D162" s="36">
        <v>22</v>
      </c>
      <c r="E162" s="36">
        <v>22</v>
      </c>
      <c r="F162" s="36">
        <v>22</v>
      </c>
      <c r="G162" s="176"/>
      <c r="H162" s="176"/>
      <c r="I162" s="176"/>
    </row>
    <row r="163" spans="1:9" ht="96" customHeight="1" x14ac:dyDescent="0.3">
      <c r="A163" s="183"/>
      <c r="B163" s="186"/>
      <c r="C163" s="31" t="s">
        <v>156</v>
      </c>
      <c r="D163" s="36">
        <f>378+4</f>
        <v>382</v>
      </c>
      <c r="E163" s="36">
        <f>378+4</f>
        <v>382</v>
      </c>
      <c r="F163" s="36">
        <f>378+4</f>
        <v>382</v>
      </c>
      <c r="G163" s="177"/>
      <c r="H163" s="177"/>
      <c r="I163" s="177"/>
    </row>
    <row r="164" spans="1:9" ht="208.5" customHeight="1" x14ac:dyDescent="0.3">
      <c r="A164" s="181">
        <v>3</v>
      </c>
      <c r="B164" s="184" t="s">
        <v>157</v>
      </c>
      <c r="C164" s="31" t="s">
        <v>158</v>
      </c>
      <c r="D164" s="36">
        <v>2</v>
      </c>
      <c r="E164" s="36">
        <v>2</v>
      </c>
      <c r="F164" s="36">
        <v>2</v>
      </c>
      <c r="G164" s="175">
        <v>22905.84</v>
      </c>
      <c r="H164" s="175">
        <v>22905.84</v>
      </c>
      <c r="I164" s="175">
        <v>22905.84</v>
      </c>
    </row>
    <row r="165" spans="1:9" ht="97.5" customHeight="1" x14ac:dyDescent="0.3">
      <c r="A165" s="182"/>
      <c r="B165" s="185"/>
      <c r="C165" s="31" t="s">
        <v>159</v>
      </c>
      <c r="D165" s="36">
        <v>1</v>
      </c>
      <c r="E165" s="36">
        <v>1</v>
      </c>
      <c r="F165" s="36">
        <v>1</v>
      </c>
      <c r="G165" s="176"/>
      <c r="H165" s="176"/>
      <c r="I165" s="176"/>
    </row>
    <row r="166" spans="1:9" ht="140.25" customHeight="1" x14ac:dyDescent="0.3">
      <c r="A166" s="182"/>
      <c r="B166" s="185"/>
      <c r="C166" s="31" t="s">
        <v>160</v>
      </c>
      <c r="D166" s="36">
        <v>4</v>
      </c>
      <c r="E166" s="36">
        <v>4</v>
      </c>
      <c r="F166" s="36">
        <v>4</v>
      </c>
      <c r="G166" s="176"/>
      <c r="H166" s="176"/>
      <c r="I166" s="176"/>
    </row>
    <row r="167" spans="1:9" ht="262.5" customHeight="1" x14ac:dyDescent="0.3">
      <c r="A167" s="182"/>
      <c r="B167" s="185"/>
      <c r="C167" s="31" t="s">
        <v>161</v>
      </c>
      <c r="D167" s="36">
        <v>650</v>
      </c>
      <c r="E167" s="36">
        <v>650</v>
      </c>
      <c r="F167" s="36">
        <v>650</v>
      </c>
      <c r="G167" s="176"/>
      <c r="H167" s="176"/>
      <c r="I167" s="176"/>
    </row>
    <row r="168" spans="1:9" ht="195" customHeight="1" x14ac:dyDescent="0.3">
      <c r="A168" s="183"/>
      <c r="B168" s="186"/>
      <c r="C168" s="31" t="s">
        <v>162</v>
      </c>
      <c r="D168" s="36">
        <v>18</v>
      </c>
      <c r="E168" s="36">
        <v>18</v>
      </c>
      <c r="F168" s="36">
        <v>18</v>
      </c>
      <c r="G168" s="176"/>
      <c r="H168" s="176"/>
      <c r="I168" s="176"/>
    </row>
    <row r="169" spans="1:9" ht="56.25" x14ac:dyDescent="0.3">
      <c r="A169" s="197">
        <v>4</v>
      </c>
      <c r="B169" s="194" t="s">
        <v>163</v>
      </c>
      <c r="C169" s="31" t="s">
        <v>164</v>
      </c>
      <c r="D169" s="36">
        <f>183+650+17</f>
        <v>850</v>
      </c>
      <c r="E169" s="36">
        <f>D169</f>
        <v>850</v>
      </c>
      <c r="F169" s="36">
        <f>E169</f>
        <v>850</v>
      </c>
      <c r="G169" s="175">
        <v>16416</v>
      </c>
      <c r="H169" s="175">
        <v>16319.1</v>
      </c>
      <c r="I169" s="175">
        <v>16319.1</v>
      </c>
    </row>
    <row r="170" spans="1:9" x14ac:dyDescent="0.3">
      <c r="A170" s="198"/>
      <c r="B170" s="194"/>
      <c r="C170" s="31" t="s">
        <v>165</v>
      </c>
      <c r="D170" s="36">
        <v>6771</v>
      </c>
      <c r="E170" s="36">
        <v>6771</v>
      </c>
      <c r="F170" s="36">
        <v>6771</v>
      </c>
      <c r="G170" s="176"/>
      <c r="H170" s="176"/>
      <c r="I170" s="176"/>
    </row>
    <row r="171" spans="1:9" ht="56.25" x14ac:dyDescent="0.3">
      <c r="A171" s="198"/>
      <c r="B171" s="194"/>
      <c r="C171" s="31" t="s">
        <v>166</v>
      </c>
      <c r="D171" s="36">
        <f>20+12</f>
        <v>32</v>
      </c>
      <c r="E171" s="36">
        <f>20+12</f>
        <v>32</v>
      </c>
      <c r="F171" s="36">
        <f>20+12</f>
        <v>32</v>
      </c>
      <c r="G171" s="176"/>
      <c r="H171" s="176"/>
      <c r="I171" s="176"/>
    </row>
    <row r="172" spans="1:9" x14ac:dyDescent="0.3">
      <c r="A172" s="198"/>
      <c r="B172" s="194"/>
      <c r="C172" s="31" t="s">
        <v>167</v>
      </c>
      <c r="D172" s="36">
        <f>463+50+2</f>
        <v>515</v>
      </c>
      <c r="E172" s="36">
        <f>463+50+2</f>
        <v>515</v>
      </c>
      <c r="F172" s="36">
        <f>E172</f>
        <v>515</v>
      </c>
      <c r="G172" s="176"/>
      <c r="H172" s="176"/>
      <c r="I172" s="176"/>
    </row>
    <row r="173" spans="1:9" ht="42.75" customHeight="1" x14ac:dyDescent="0.3">
      <c r="A173" s="198"/>
      <c r="B173" s="200"/>
      <c r="C173" s="31" t="s">
        <v>168</v>
      </c>
      <c r="D173" s="36" t="s">
        <v>169</v>
      </c>
      <c r="E173" s="36" t="s">
        <v>169</v>
      </c>
      <c r="F173" s="36" t="s">
        <v>169</v>
      </c>
      <c r="G173" s="176"/>
      <c r="H173" s="176"/>
      <c r="I173" s="176"/>
    </row>
    <row r="174" spans="1:9" x14ac:dyDescent="0.3">
      <c r="A174" s="198"/>
      <c r="B174" s="200"/>
      <c r="C174" s="31" t="s">
        <v>170</v>
      </c>
      <c r="D174" s="36">
        <v>12</v>
      </c>
      <c r="E174" s="36">
        <v>12</v>
      </c>
      <c r="F174" s="36">
        <v>12</v>
      </c>
      <c r="G174" s="176"/>
      <c r="H174" s="176"/>
      <c r="I174" s="176"/>
    </row>
    <row r="175" spans="1:9" x14ac:dyDescent="0.3">
      <c r="A175" s="199"/>
      <c r="B175" s="200"/>
      <c r="C175" s="31" t="s">
        <v>171</v>
      </c>
      <c r="D175" s="36">
        <v>1</v>
      </c>
      <c r="E175" s="36">
        <v>1</v>
      </c>
      <c r="F175" s="36">
        <v>1</v>
      </c>
      <c r="G175" s="177"/>
      <c r="H175" s="177"/>
      <c r="I175" s="177"/>
    </row>
    <row r="176" spans="1:9" ht="37.5" x14ac:dyDescent="0.3">
      <c r="A176" s="193">
        <v>5</v>
      </c>
      <c r="B176" s="194" t="s">
        <v>172</v>
      </c>
      <c r="C176" s="31" t="s">
        <v>173</v>
      </c>
      <c r="D176" s="36">
        <v>111</v>
      </c>
      <c r="E176" s="36">
        <v>111</v>
      </c>
      <c r="F176" s="36">
        <v>111</v>
      </c>
      <c r="G176" s="195">
        <v>19962.05</v>
      </c>
      <c r="H176" s="195">
        <v>19962.05</v>
      </c>
      <c r="I176" s="195">
        <v>19962.05</v>
      </c>
    </row>
    <row r="177" spans="1:9" ht="75" x14ac:dyDescent="0.3">
      <c r="A177" s="193"/>
      <c r="B177" s="194"/>
      <c r="C177" s="31" t="s">
        <v>174</v>
      </c>
      <c r="D177" s="36">
        <v>40</v>
      </c>
      <c r="E177" s="36">
        <v>40</v>
      </c>
      <c r="F177" s="36">
        <v>40</v>
      </c>
      <c r="G177" s="196"/>
      <c r="H177" s="196"/>
      <c r="I177" s="196"/>
    </row>
    <row r="178" spans="1:9" ht="18.75" customHeight="1" x14ac:dyDescent="0.3">
      <c r="A178" s="197">
        <v>6</v>
      </c>
      <c r="B178" s="203" t="s">
        <v>175</v>
      </c>
      <c r="C178" s="31" t="s">
        <v>176</v>
      </c>
      <c r="D178" s="36">
        <v>4932</v>
      </c>
      <c r="E178" s="36">
        <v>4932</v>
      </c>
      <c r="F178" s="36">
        <v>4932</v>
      </c>
      <c r="G178" s="195">
        <f>47466.96+25139.62</f>
        <v>72606.58</v>
      </c>
      <c r="H178" s="195">
        <f>47466.96+24641.62</f>
        <v>72108.58</v>
      </c>
      <c r="I178" s="195">
        <f>47466.96+24641.62</f>
        <v>72108.58</v>
      </c>
    </row>
    <row r="179" spans="1:9" ht="37.5" x14ac:dyDescent="0.3">
      <c r="A179" s="202"/>
      <c r="B179" s="204"/>
      <c r="C179" s="31" t="s">
        <v>177</v>
      </c>
      <c r="D179" s="36">
        <f>1357+299</f>
        <v>1656</v>
      </c>
      <c r="E179" s="36">
        <f>1357+299</f>
        <v>1656</v>
      </c>
      <c r="F179" s="36">
        <f>1357+299</f>
        <v>1656</v>
      </c>
      <c r="G179" s="201"/>
      <c r="H179" s="201"/>
      <c r="I179" s="201"/>
    </row>
    <row r="180" spans="1:9" x14ac:dyDescent="0.3">
      <c r="A180" s="202"/>
      <c r="B180" s="204"/>
      <c r="C180" s="31" t="s">
        <v>178</v>
      </c>
      <c r="D180" s="36">
        <f>7+6</f>
        <v>13</v>
      </c>
      <c r="E180" s="36">
        <f>7+6</f>
        <v>13</v>
      </c>
      <c r="F180" s="36">
        <f>7+6</f>
        <v>13</v>
      </c>
      <c r="G180" s="196"/>
      <c r="H180" s="196"/>
      <c r="I180" s="196"/>
    </row>
    <row r="181" spans="1:9" x14ac:dyDescent="0.3">
      <c r="A181" s="197">
        <v>7</v>
      </c>
      <c r="B181" s="203" t="s">
        <v>179</v>
      </c>
      <c r="C181" s="31" t="s">
        <v>180</v>
      </c>
      <c r="D181" s="36">
        <v>6</v>
      </c>
      <c r="E181" s="36">
        <v>6</v>
      </c>
      <c r="F181" s="36">
        <v>6</v>
      </c>
      <c r="G181" s="195">
        <v>339.14</v>
      </c>
      <c r="H181" s="195">
        <v>323.79000000000002</v>
      </c>
      <c r="I181" s="195">
        <v>323.79000000000002</v>
      </c>
    </row>
    <row r="182" spans="1:9" x14ac:dyDescent="0.3">
      <c r="A182" s="202"/>
      <c r="B182" s="204"/>
      <c r="C182" s="31" t="s">
        <v>181</v>
      </c>
      <c r="D182" s="36">
        <v>3</v>
      </c>
      <c r="E182" s="36">
        <v>3</v>
      </c>
      <c r="F182" s="36">
        <v>3</v>
      </c>
      <c r="G182" s="201"/>
      <c r="H182" s="201"/>
      <c r="I182" s="201"/>
    </row>
    <row r="183" spans="1:9" ht="61.5" customHeight="1" x14ac:dyDescent="0.3">
      <c r="A183" s="197">
        <v>8</v>
      </c>
      <c r="B183" s="203" t="s">
        <v>182</v>
      </c>
      <c r="C183" s="31" t="s">
        <v>183</v>
      </c>
      <c r="D183" s="37">
        <v>5.6</v>
      </c>
      <c r="E183" s="37">
        <v>0.6</v>
      </c>
      <c r="F183" s="37">
        <v>0.6</v>
      </c>
      <c r="G183" s="195">
        <v>61089.8</v>
      </c>
      <c r="H183" s="195">
        <v>38636.199999999997</v>
      </c>
      <c r="I183" s="195">
        <v>38623.300000000003</v>
      </c>
    </row>
    <row r="184" spans="1:9" ht="27" customHeight="1" x14ac:dyDescent="0.3">
      <c r="A184" s="202"/>
      <c r="B184" s="204"/>
      <c r="C184" s="31" t="s">
        <v>184</v>
      </c>
      <c r="D184" s="36">
        <v>82000</v>
      </c>
      <c r="E184" s="36">
        <v>82000</v>
      </c>
      <c r="F184" s="36">
        <v>82000</v>
      </c>
      <c r="G184" s="201"/>
      <c r="H184" s="201"/>
      <c r="I184" s="201"/>
    </row>
    <row r="185" spans="1:9" ht="24" customHeight="1" x14ac:dyDescent="0.3">
      <c r="A185" s="202"/>
      <c r="B185" s="204"/>
      <c r="C185" s="31" t="s">
        <v>152</v>
      </c>
      <c r="D185" s="36">
        <v>1</v>
      </c>
      <c r="E185" s="36">
        <v>1</v>
      </c>
      <c r="F185" s="36">
        <v>1</v>
      </c>
      <c r="G185" s="196"/>
      <c r="H185" s="196"/>
      <c r="I185" s="196"/>
    </row>
    <row r="186" spans="1:9" ht="37.5" x14ac:dyDescent="0.3">
      <c r="A186" s="205">
        <v>9</v>
      </c>
      <c r="B186" s="200" t="s">
        <v>142</v>
      </c>
      <c r="C186" s="31" t="s">
        <v>185</v>
      </c>
      <c r="D186" s="36">
        <v>7</v>
      </c>
      <c r="E186" s="36">
        <v>7</v>
      </c>
      <c r="F186" s="36">
        <v>7</v>
      </c>
      <c r="G186" s="175">
        <v>13716.25</v>
      </c>
      <c r="H186" s="175">
        <v>12466.3</v>
      </c>
      <c r="I186" s="175">
        <v>12466.3</v>
      </c>
    </row>
    <row r="187" spans="1:9" ht="37.5" x14ac:dyDescent="0.3">
      <c r="A187" s="205"/>
      <c r="B187" s="200"/>
      <c r="C187" s="31" t="s">
        <v>187</v>
      </c>
      <c r="D187" s="36">
        <v>1</v>
      </c>
      <c r="E187" s="36">
        <v>1</v>
      </c>
      <c r="F187" s="36">
        <v>1</v>
      </c>
      <c r="G187" s="176"/>
      <c r="H187" s="176"/>
      <c r="I187" s="176"/>
    </row>
    <row r="188" spans="1:9" ht="56.25" x14ac:dyDescent="0.3">
      <c r="A188" s="205"/>
      <c r="B188" s="200"/>
      <c r="C188" s="31" t="s">
        <v>186</v>
      </c>
      <c r="D188" s="36">
        <v>2</v>
      </c>
      <c r="E188" s="36">
        <v>2</v>
      </c>
      <c r="F188" s="36">
        <v>2</v>
      </c>
      <c r="G188" s="176"/>
      <c r="H188" s="176"/>
      <c r="I188" s="176"/>
    </row>
    <row r="189" spans="1:9" ht="56.25" x14ac:dyDescent="0.3">
      <c r="A189" s="205"/>
      <c r="B189" s="200"/>
      <c r="C189" s="31" t="s">
        <v>186</v>
      </c>
      <c r="D189" s="36">
        <v>241</v>
      </c>
      <c r="E189" s="36">
        <v>241</v>
      </c>
      <c r="F189" s="36">
        <v>241</v>
      </c>
      <c r="G189" s="176"/>
      <c r="H189" s="176"/>
      <c r="I189" s="176"/>
    </row>
    <row r="190" spans="1:9" x14ac:dyDescent="0.3">
      <c r="A190" s="205"/>
      <c r="B190" s="200"/>
      <c r="C190" s="31" t="s">
        <v>188</v>
      </c>
      <c r="D190" s="36">
        <v>60</v>
      </c>
      <c r="E190" s="36">
        <v>60</v>
      </c>
      <c r="F190" s="36">
        <v>60</v>
      </c>
      <c r="G190" s="176"/>
      <c r="H190" s="176"/>
      <c r="I190" s="176"/>
    </row>
    <row r="191" spans="1:9" x14ac:dyDescent="0.3">
      <c r="A191" s="205"/>
      <c r="B191" s="200"/>
      <c r="C191" s="31" t="s">
        <v>189</v>
      </c>
      <c r="D191" s="36">
        <v>472</v>
      </c>
      <c r="E191" s="36">
        <v>470</v>
      </c>
      <c r="F191" s="36">
        <v>470</v>
      </c>
      <c r="G191" s="176"/>
      <c r="H191" s="176"/>
      <c r="I191" s="176"/>
    </row>
    <row r="192" spans="1:9" ht="54" customHeight="1" x14ac:dyDescent="0.3">
      <c r="A192" s="209">
        <v>10</v>
      </c>
      <c r="B192" s="210" t="s">
        <v>467</v>
      </c>
      <c r="C192" s="85" t="s">
        <v>468</v>
      </c>
      <c r="D192" s="36">
        <v>17</v>
      </c>
      <c r="E192" s="36">
        <v>17</v>
      </c>
      <c r="F192" s="36">
        <v>17</v>
      </c>
      <c r="G192" s="195">
        <v>16300</v>
      </c>
      <c r="H192" s="195">
        <v>12027.8</v>
      </c>
      <c r="I192" s="195">
        <v>12027.8</v>
      </c>
    </row>
    <row r="193" spans="1:9" ht="42.75" customHeight="1" x14ac:dyDescent="0.3">
      <c r="A193" s="198"/>
      <c r="B193" s="212"/>
      <c r="C193" s="85" t="s">
        <v>469</v>
      </c>
      <c r="D193" s="36">
        <v>17</v>
      </c>
      <c r="E193" s="36">
        <v>17</v>
      </c>
      <c r="F193" s="36">
        <v>17</v>
      </c>
      <c r="G193" s="201"/>
      <c r="H193" s="201"/>
      <c r="I193" s="201"/>
    </row>
    <row r="194" spans="1:9" ht="58.5" customHeight="1" x14ac:dyDescent="0.3">
      <c r="A194" s="198"/>
      <c r="B194" s="212"/>
      <c r="C194" s="85" t="s">
        <v>470</v>
      </c>
      <c r="D194" s="36">
        <v>2</v>
      </c>
      <c r="E194" s="36"/>
      <c r="F194" s="36"/>
      <c r="G194" s="201"/>
      <c r="H194" s="201"/>
      <c r="I194" s="201"/>
    </row>
    <row r="195" spans="1:9" ht="55.5" customHeight="1" x14ac:dyDescent="0.3">
      <c r="A195" s="198"/>
      <c r="B195" s="212"/>
      <c r="C195" s="85" t="s">
        <v>471</v>
      </c>
      <c r="D195" s="36">
        <v>1</v>
      </c>
      <c r="E195" s="36">
        <v>3</v>
      </c>
      <c r="F195" s="36">
        <v>3</v>
      </c>
      <c r="G195" s="201"/>
      <c r="H195" s="201"/>
      <c r="I195" s="201"/>
    </row>
    <row r="196" spans="1:9" ht="67.5" customHeight="1" x14ac:dyDescent="0.3">
      <c r="A196" s="198"/>
      <c r="B196" s="212"/>
      <c r="C196" s="85" t="s">
        <v>472</v>
      </c>
      <c r="D196" s="36">
        <v>1</v>
      </c>
      <c r="E196" s="36"/>
      <c r="F196" s="36"/>
      <c r="G196" s="201"/>
      <c r="H196" s="201"/>
      <c r="I196" s="201"/>
    </row>
    <row r="197" spans="1:9" ht="118.5" customHeight="1" x14ac:dyDescent="0.3">
      <c r="A197" s="199"/>
      <c r="B197" s="211"/>
      <c r="C197" s="85" t="s">
        <v>473</v>
      </c>
      <c r="D197" s="36">
        <v>1</v>
      </c>
      <c r="E197" s="36"/>
      <c r="F197" s="36"/>
      <c r="G197" s="196"/>
      <c r="H197" s="196"/>
      <c r="I197" s="196"/>
    </row>
    <row r="198" spans="1:9" ht="150" x14ac:dyDescent="0.3">
      <c r="A198" s="46">
        <v>11</v>
      </c>
      <c r="B198" s="45" t="s">
        <v>190</v>
      </c>
      <c r="C198" s="31" t="s">
        <v>190</v>
      </c>
      <c r="D198" s="36">
        <v>25</v>
      </c>
      <c r="E198" s="36">
        <v>25</v>
      </c>
      <c r="F198" s="36">
        <v>25</v>
      </c>
      <c r="G198" s="56">
        <v>6676.46</v>
      </c>
      <c r="H198" s="56">
        <v>3738.5</v>
      </c>
      <c r="I198" s="56">
        <v>3738.5</v>
      </c>
    </row>
    <row r="199" spans="1:9" ht="37.5" x14ac:dyDescent="0.3">
      <c r="A199" s="205">
        <v>12</v>
      </c>
      <c r="B199" s="200" t="s">
        <v>144</v>
      </c>
      <c r="C199" s="31" t="s">
        <v>195</v>
      </c>
      <c r="D199" s="36">
        <v>16</v>
      </c>
      <c r="E199" s="36">
        <v>17</v>
      </c>
      <c r="F199" s="36">
        <v>18</v>
      </c>
      <c r="G199" s="175">
        <v>94433.1</v>
      </c>
      <c r="H199" s="175">
        <v>57983.4</v>
      </c>
      <c r="I199" s="175">
        <v>57983.4</v>
      </c>
    </row>
    <row r="200" spans="1:9" ht="37.5" x14ac:dyDescent="0.3">
      <c r="A200" s="205"/>
      <c r="B200" s="200"/>
      <c r="C200" s="31" t="s">
        <v>195</v>
      </c>
      <c r="D200" s="36">
        <v>20</v>
      </c>
      <c r="E200" s="36">
        <v>20</v>
      </c>
      <c r="F200" s="36">
        <v>20</v>
      </c>
      <c r="G200" s="176"/>
      <c r="H200" s="176"/>
      <c r="I200" s="176"/>
    </row>
    <row r="201" spans="1:9" ht="37.5" x14ac:dyDescent="0.3">
      <c r="A201" s="205"/>
      <c r="B201" s="200"/>
      <c r="C201" s="31" t="s">
        <v>196</v>
      </c>
      <c r="D201" s="36">
        <v>6</v>
      </c>
      <c r="E201" s="36">
        <v>6</v>
      </c>
      <c r="F201" s="36">
        <v>6</v>
      </c>
      <c r="G201" s="176"/>
      <c r="H201" s="176"/>
      <c r="I201" s="176"/>
    </row>
    <row r="202" spans="1:9" x14ac:dyDescent="0.3">
      <c r="A202" s="205"/>
      <c r="B202" s="200"/>
      <c r="C202" s="31" t="s">
        <v>197</v>
      </c>
      <c r="D202" s="36">
        <v>8</v>
      </c>
      <c r="E202" s="36">
        <v>8</v>
      </c>
      <c r="F202" s="36">
        <v>8</v>
      </c>
      <c r="G202" s="176"/>
      <c r="H202" s="176"/>
      <c r="I202" s="176"/>
    </row>
    <row r="203" spans="1:9" ht="41.25" customHeight="1" x14ac:dyDescent="0.3">
      <c r="A203" s="205"/>
      <c r="B203" s="200"/>
      <c r="C203" s="31" t="s">
        <v>198</v>
      </c>
      <c r="D203" s="36">
        <v>1</v>
      </c>
      <c r="E203" s="36">
        <v>1</v>
      </c>
      <c r="F203" s="36">
        <v>1</v>
      </c>
      <c r="G203" s="176"/>
      <c r="H203" s="176"/>
      <c r="I203" s="176"/>
    </row>
    <row r="204" spans="1:9" x14ac:dyDescent="0.3">
      <c r="A204" s="205"/>
      <c r="B204" s="200"/>
      <c r="C204" s="31" t="s">
        <v>199</v>
      </c>
      <c r="D204" s="36">
        <v>246</v>
      </c>
      <c r="E204" s="36"/>
      <c r="F204" s="36"/>
      <c r="G204" s="176"/>
      <c r="H204" s="176"/>
      <c r="I204" s="176"/>
    </row>
    <row r="205" spans="1:9" ht="56.25" x14ac:dyDescent="0.3">
      <c r="A205" s="46">
        <v>13</v>
      </c>
      <c r="B205" s="45" t="s">
        <v>191</v>
      </c>
      <c r="C205" s="31" t="s">
        <v>192</v>
      </c>
      <c r="D205" s="36">
        <v>25</v>
      </c>
      <c r="E205" s="36">
        <v>25</v>
      </c>
      <c r="F205" s="36">
        <v>25</v>
      </c>
      <c r="G205" s="56">
        <v>1480.14</v>
      </c>
      <c r="H205" s="56">
        <v>1480.14</v>
      </c>
      <c r="I205" s="56">
        <v>1480.14</v>
      </c>
    </row>
    <row r="206" spans="1:9" ht="59.25" customHeight="1" x14ac:dyDescent="0.3">
      <c r="A206" s="46">
        <v>14</v>
      </c>
      <c r="B206" s="45" t="s">
        <v>193</v>
      </c>
      <c r="C206" s="31" t="s">
        <v>194</v>
      </c>
      <c r="D206" s="36">
        <v>28095</v>
      </c>
      <c r="E206" s="36">
        <v>28095</v>
      </c>
      <c r="F206" s="36">
        <v>28095</v>
      </c>
      <c r="G206" s="56">
        <v>29250.15</v>
      </c>
      <c r="H206" s="56">
        <v>24320.2</v>
      </c>
      <c r="I206" s="56">
        <v>24320.2</v>
      </c>
    </row>
    <row r="207" spans="1:9" ht="409.5" customHeight="1" x14ac:dyDescent="0.3">
      <c r="A207" s="209">
        <v>15</v>
      </c>
      <c r="B207" s="210" t="s">
        <v>200</v>
      </c>
      <c r="C207" s="166" t="s">
        <v>201</v>
      </c>
      <c r="D207" s="213">
        <v>50</v>
      </c>
      <c r="E207" s="213">
        <v>50</v>
      </c>
      <c r="F207" s="213">
        <v>50</v>
      </c>
      <c r="G207" s="195">
        <v>3162.12</v>
      </c>
      <c r="H207" s="195">
        <v>2935.3</v>
      </c>
      <c r="I207" s="195">
        <v>2935.3</v>
      </c>
    </row>
    <row r="208" spans="1:9" ht="68.25" customHeight="1" x14ac:dyDescent="0.3">
      <c r="A208" s="199"/>
      <c r="B208" s="211"/>
      <c r="C208" s="168"/>
      <c r="D208" s="214"/>
      <c r="E208" s="214"/>
      <c r="F208" s="214"/>
      <c r="G208" s="196"/>
      <c r="H208" s="196"/>
      <c r="I208" s="196"/>
    </row>
    <row r="209" spans="1:9" ht="120.75" customHeight="1" x14ac:dyDescent="0.3">
      <c r="A209" s="46">
        <v>16</v>
      </c>
      <c r="B209" s="45" t="s">
        <v>202</v>
      </c>
      <c r="C209" s="31" t="s">
        <v>203</v>
      </c>
      <c r="D209" s="36">
        <v>25</v>
      </c>
      <c r="E209" s="36">
        <v>25</v>
      </c>
      <c r="F209" s="36">
        <v>25</v>
      </c>
      <c r="G209" s="56">
        <v>964.4</v>
      </c>
      <c r="H209" s="56">
        <v>851</v>
      </c>
      <c r="I209" s="56">
        <v>851</v>
      </c>
    </row>
    <row r="210" spans="1:9" ht="115.5" customHeight="1" x14ac:dyDescent="0.3">
      <c r="A210" s="46">
        <v>17</v>
      </c>
      <c r="B210" s="45" t="s">
        <v>204</v>
      </c>
      <c r="C210" s="31" t="s">
        <v>205</v>
      </c>
      <c r="D210" s="36">
        <v>20</v>
      </c>
      <c r="E210" s="36">
        <v>20</v>
      </c>
      <c r="F210" s="36">
        <v>20</v>
      </c>
      <c r="G210" s="56">
        <v>589.02</v>
      </c>
      <c r="H210" s="56">
        <v>498.3</v>
      </c>
      <c r="I210" s="56">
        <v>498.3</v>
      </c>
    </row>
    <row r="211" spans="1:9" ht="18.75" customHeight="1" x14ac:dyDescent="0.3">
      <c r="A211" s="156" t="s">
        <v>14</v>
      </c>
      <c r="B211" s="157"/>
      <c r="C211" s="157"/>
      <c r="D211" s="157"/>
      <c r="E211" s="157"/>
      <c r="F211" s="158"/>
      <c r="G211" s="38">
        <f>G212+G219</f>
        <v>2728172.6</v>
      </c>
      <c r="H211" s="38">
        <f t="shared" ref="H211:I211" si="14">H212+H219</f>
        <v>2318104.2999999998</v>
      </c>
      <c r="I211" s="38">
        <f t="shared" si="14"/>
        <v>259668.1</v>
      </c>
    </row>
    <row r="212" spans="1:9" ht="18.75" customHeight="1" x14ac:dyDescent="0.3">
      <c r="A212" s="134" t="s">
        <v>41</v>
      </c>
      <c r="B212" s="135"/>
      <c r="C212" s="135"/>
      <c r="D212" s="135"/>
      <c r="E212" s="135"/>
      <c r="F212" s="136"/>
      <c r="G212" s="82">
        <f>SUM(G215:G218)</f>
        <v>96377.2</v>
      </c>
      <c r="H212" s="82">
        <f t="shared" ref="H212" si="15">SUM(H215:H218)</f>
        <v>96578.400000000009</v>
      </c>
      <c r="I212" s="82"/>
    </row>
    <row r="213" spans="1:9" ht="18.75" customHeight="1" x14ac:dyDescent="0.3">
      <c r="A213" s="131" t="s">
        <v>40</v>
      </c>
      <c r="B213" s="132"/>
      <c r="C213" s="132"/>
      <c r="D213" s="132"/>
      <c r="E213" s="132"/>
      <c r="F213" s="133"/>
      <c r="G213" s="39"/>
      <c r="H213" s="6"/>
      <c r="I213" s="6"/>
    </row>
    <row r="214" spans="1:9" ht="21.75" customHeight="1" x14ac:dyDescent="0.3">
      <c r="A214" s="12">
        <v>1</v>
      </c>
      <c r="B214" s="11" t="s">
        <v>42</v>
      </c>
      <c r="C214" s="2"/>
      <c r="D214" s="2"/>
      <c r="E214" s="2"/>
      <c r="F214" s="2"/>
      <c r="G214" s="6"/>
      <c r="H214" s="6"/>
      <c r="I214" s="6"/>
    </row>
    <row r="215" spans="1:9" ht="63" customHeight="1" x14ac:dyDescent="0.3">
      <c r="A215" s="12"/>
      <c r="B215" s="10" t="s">
        <v>44</v>
      </c>
      <c r="C215" s="8" t="s">
        <v>43</v>
      </c>
      <c r="D215" s="36">
        <v>11316</v>
      </c>
      <c r="E215" s="36">
        <v>11400</v>
      </c>
      <c r="F215" s="36"/>
      <c r="G215" s="40">
        <v>84307.8</v>
      </c>
      <c r="H215" s="40">
        <v>84466.8</v>
      </c>
      <c r="I215" s="40"/>
    </row>
    <row r="216" spans="1:9" ht="78.75" customHeight="1" x14ac:dyDescent="0.3">
      <c r="A216" s="12"/>
      <c r="B216" s="10" t="s">
        <v>45</v>
      </c>
      <c r="C216" s="8" t="s">
        <v>43</v>
      </c>
      <c r="D216" s="36">
        <v>397.4</v>
      </c>
      <c r="E216" s="36">
        <v>400</v>
      </c>
      <c r="F216" s="36"/>
      <c r="G216" s="40">
        <v>2185.6999999999998</v>
      </c>
      <c r="H216" s="40">
        <v>2200</v>
      </c>
      <c r="I216" s="40"/>
    </row>
    <row r="217" spans="1:9" ht="57.75" customHeight="1" x14ac:dyDescent="0.3">
      <c r="A217" s="12"/>
      <c r="B217" s="10" t="s">
        <v>46</v>
      </c>
      <c r="C217" s="8" t="s">
        <v>43</v>
      </c>
      <c r="D217" s="36">
        <v>1350</v>
      </c>
      <c r="E217" s="36">
        <v>1300</v>
      </c>
      <c r="F217" s="36"/>
      <c r="G217" s="40">
        <v>8775</v>
      </c>
      <c r="H217" s="40">
        <v>8450</v>
      </c>
      <c r="I217" s="40"/>
    </row>
    <row r="218" spans="1:9" ht="19.5" customHeight="1" x14ac:dyDescent="0.3">
      <c r="A218" s="12">
        <v>2</v>
      </c>
      <c r="B218" s="11" t="s">
        <v>47</v>
      </c>
      <c r="C218" s="8" t="s">
        <v>48</v>
      </c>
      <c r="D218" s="36">
        <v>79</v>
      </c>
      <c r="E218" s="36">
        <v>104</v>
      </c>
      <c r="F218" s="36"/>
      <c r="G218" s="40">
        <v>1108.7</v>
      </c>
      <c r="H218" s="40">
        <v>1461.6</v>
      </c>
      <c r="I218" s="41"/>
    </row>
    <row r="219" spans="1:9" x14ac:dyDescent="0.3">
      <c r="A219" s="134" t="s">
        <v>49</v>
      </c>
      <c r="B219" s="135"/>
      <c r="C219" s="135"/>
      <c r="D219" s="135"/>
      <c r="E219" s="135"/>
      <c r="F219" s="136"/>
      <c r="G219" s="82">
        <f>SUM(G222:G250)</f>
        <v>2631795.4</v>
      </c>
      <c r="H219" s="82">
        <f>SUM(H222:H250)</f>
        <v>2221525.9</v>
      </c>
      <c r="I219" s="82">
        <f>SUM(I222:I250)</f>
        <v>259668.1</v>
      </c>
    </row>
    <row r="220" spans="1:9" x14ac:dyDescent="0.3">
      <c r="A220" s="131" t="s">
        <v>40</v>
      </c>
      <c r="B220" s="132"/>
      <c r="C220" s="132"/>
      <c r="D220" s="132"/>
      <c r="E220" s="132"/>
      <c r="F220" s="133"/>
      <c r="G220" s="6"/>
      <c r="H220" s="6"/>
      <c r="I220" s="6"/>
    </row>
    <row r="221" spans="1:9" x14ac:dyDescent="0.3">
      <c r="A221" s="17">
        <v>1</v>
      </c>
      <c r="B221" s="11" t="s">
        <v>50</v>
      </c>
      <c r="C221" s="13"/>
      <c r="D221" s="14"/>
      <c r="E221" s="14"/>
      <c r="F221" s="14"/>
      <c r="G221" s="41"/>
      <c r="H221" s="41"/>
      <c r="I221" s="41"/>
    </row>
    <row r="222" spans="1:9" ht="40.5" customHeight="1" x14ac:dyDescent="0.3">
      <c r="A222" s="15"/>
      <c r="B222" s="10" t="s">
        <v>51</v>
      </c>
      <c r="C222" s="16" t="s">
        <v>43</v>
      </c>
      <c r="D222" s="37">
        <v>2076.1999999999998</v>
      </c>
      <c r="E222" s="37">
        <v>2076.1999999999998</v>
      </c>
      <c r="F222" s="37"/>
      <c r="G222" s="40">
        <v>5190.5</v>
      </c>
      <c r="H222" s="40">
        <v>10588.6</v>
      </c>
      <c r="I222" s="40"/>
    </row>
    <row r="223" spans="1:9" x14ac:dyDescent="0.3">
      <c r="A223" s="15"/>
      <c r="B223" s="10" t="s">
        <v>52</v>
      </c>
      <c r="C223" s="16" t="s">
        <v>43</v>
      </c>
      <c r="D223" s="37">
        <v>3987.2</v>
      </c>
      <c r="E223" s="37">
        <v>3987.2</v>
      </c>
      <c r="F223" s="37"/>
      <c r="G223" s="40">
        <v>9339.7999999999993</v>
      </c>
      <c r="H223" s="40">
        <v>10134.700000000001</v>
      </c>
      <c r="I223" s="40"/>
    </row>
    <row r="224" spans="1:9" x14ac:dyDescent="0.3">
      <c r="A224" s="15"/>
      <c r="B224" s="10" t="s">
        <v>53</v>
      </c>
      <c r="C224" s="16" t="s">
        <v>43</v>
      </c>
      <c r="D224" s="36">
        <v>266</v>
      </c>
      <c r="E224" s="36">
        <v>266</v>
      </c>
      <c r="F224" s="36"/>
      <c r="G224" s="40">
        <v>665</v>
      </c>
      <c r="H224" s="40">
        <v>665</v>
      </c>
      <c r="I224" s="40"/>
    </row>
    <row r="225" spans="1:9" x14ac:dyDescent="0.3">
      <c r="A225" s="15"/>
      <c r="B225" s="10" t="s">
        <v>54</v>
      </c>
      <c r="C225" s="16" t="s">
        <v>43</v>
      </c>
      <c r="D225" s="36">
        <v>8587</v>
      </c>
      <c r="E225" s="36">
        <v>8587</v>
      </c>
      <c r="F225" s="36"/>
      <c r="G225" s="40">
        <v>25761</v>
      </c>
      <c r="H225" s="40">
        <v>43793.7</v>
      </c>
      <c r="I225" s="40"/>
    </row>
    <row r="226" spans="1:9" ht="23.25" customHeight="1" x14ac:dyDescent="0.3">
      <c r="A226" s="15"/>
      <c r="B226" s="10" t="s">
        <v>55</v>
      </c>
      <c r="C226" s="16" t="s">
        <v>43</v>
      </c>
      <c r="D226" s="36">
        <v>15200</v>
      </c>
      <c r="E226" s="36">
        <v>15200</v>
      </c>
      <c r="F226" s="36"/>
      <c r="G226" s="40">
        <v>45600</v>
      </c>
      <c r="H226" s="40">
        <v>77520</v>
      </c>
      <c r="I226" s="40"/>
    </row>
    <row r="227" spans="1:9" ht="39" customHeight="1" x14ac:dyDescent="0.3">
      <c r="A227" s="47">
        <v>2</v>
      </c>
      <c r="B227" s="24" t="s">
        <v>56</v>
      </c>
      <c r="C227" s="16" t="s">
        <v>57</v>
      </c>
      <c r="D227" s="36">
        <v>12</v>
      </c>
      <c r="E227" s="36">
        <v>12</v>
      </c>
      <c r="F227" s="36"/>
      <c r="G227" s="42">
        <v>1020</v>
      </c>
      <c r="H227" s="42">
        <v>1800</v>
      </c>
      <c r="I227" s="40"/>
    </row>
    <row r="228" spans="1:9" ht="20.25" customHeight="1" x14ac:dyDescent="0.3">
      <c r="A228" s="17">
        <v>3</v>
      </c>
      <c r="B228" s="11" t="s">
        <v>58</v>
      </c>
      <c r="C228" s="8"/>
      <c r="D228" s="9"/>
      <c r="E228" s="9"/>
      <c r="F228" s="9"/>
      <c r="G228" s="40"/>
      <c r="H228" s="40"/>
      <c r="I228" s="40"/>
    </row>
    <row r="229" spans="1:9" x14ac:dyDescent="0.3">
      <c r="A229" s="17"/>
      <c r="B229" s="11" t="s">
        <v>59</v>
      </c>
      <c r="C229" s="16" t="s">
        <v>43</v>
      </c>
      <c r="D229" s="9">
        <v>9563.9</v>
      </c>
      <c r="E229" s="9">
        <v>9563.9</v>
      </c>
      <c r="F229" s="9"/>
      <c r="G229" s="40">
        <v>33473.699999999997</v>
      </c>
      <c r="H229" s="40">
        <v>46863.1</v>
      </c>
      <c r="I229" s="40"/>
    </row>
    <row r="230" spans="1:9" x14ac:dyDescent="0.3">
      <c r="A230" s="17"/>
      <c r="B230" s="11" t="s">
        <v>60</v>
      </c>
      <c r="C230" s="16" t="s">
        <v>43</v>
      </c>
      <c r="D230" s="36">
        <v>1964</v>
      </c>
      <c r="E230" s="36">
        <v>1964</v>
      </c>
      <c r="F230" s="36"/>
      <c r="G230" s="40">
        <v>6874</v>
      </c>
      <c r="H230" s="40">
        <v>9623.6</v>
      </c>
      <c r="I230" s="40"/>
    </row>
    <row r="231" spans="1:9" x14ac:dyDescent="0.3">
      <c r="A231" s="17"/>
      <c r="B231" s="10" t="s">
        <v>61</v>
      </c>
      <c r="C231" s="16" t="s">
        <v>62</v>
      </c>
      <c r="D231" s="36">
        <v>51</v>
      </c>
      <c r="E231" s="36">
        <v>51</v>
      </c>
      <c r="F231" s="36"/>
      <c r="G231" s="40">
        <v>204</v>
      </c>
      <c r="H231" s="40">
        <v>649</v>
      </c>
      <c r="I231" s="40"/>
    </row>
    <row r="232" spans="1:9" x14ac:dyDescent="0.3">
      <c r="A232" s="17">
        <v>4</v>
      </c>
      <c r="B232" s="10" t="s">
        <v>63</v>
      </c>
      <c r="C232" s="8" t="s">
        <v>43</v>
      </c>
      <c r="D232" s="36">
        <v>107910</v>
      </c>
      <c r="E232" s="36">
        <v>107910</v>
      </c>
      <c r="F232" s="36"/>
      <c r="G232" s="40">
        <v>99499.6</v>
      </c>
      <c r="H232" s="40">
        <v>595300.6</v>
      </c>
      <c r="I232" s="40"/>
    </row>
    <row r="233" spans="1:9" x14ac:dyDescent="0.3">
      <c r="A233" s="17">
        <v>5</v>
      </c>
      <c r="B233" s="10" t="s">
        <v>64</v>
      </c>
      <c r="C233" s="8"/>
      <c r="D233" s="36"/>
      <c r="E233" s="36"/>
      <c r="F233" s="36"/>
      <c r="G233" s="40"/>
      <c r="H233" s="40"/>
      <c r="I233" s="40"/>
    </row>
    <row r="234" spans="1:9" x14ac:dyDescent="0.3">
      <c r="A234" s="17"/>
      <c r="B234" s="10" t="s">
        <v>65</v>
      </c>
      <c r="C234" s="16" t="s">
        <v>43</v>
      </c>
      <c r="D234" s="36">
        <v>266</v>
      </c>
      <c r="E234" s="36">
        <v>266</v>
      </c>
      <c r="F234" s="36"/>
      <c r="G234" s="40">
        <v>4522</v>
      </c>
      <c r="H234" s="40">
        <v>4522</v>
      </c>
      <c r="I234" s="40"/>
    </row>
    <row r="235" spans="1:9" ht="21.75" customHeight="1" x14ac:dyDescent="0.3">
      <c r="A235" s="17"/>
      <c r="B235" s="10" t="s">
        <v>66</v>
      </c>
      <c r="C235" s="16" t="s">
        <v>43</v>
      </c>
      <c r="D235" s="9">
        <v>1149.0999999999999</v>
      </c>
      <c r="E235" s="9">
        <v>1149.0999999999999</v>
      </c>
      <c r="F235" s="9"/>
      <c r="G235" s="40">
        <v>4596.3999999999996</v>
      </c>
      <c r="H235" s="40">
        <v>5745.5</v>
      </c>
      <c r="I235" s="40"/>
    </row>
    <row r="236" spans="1:9" x14ac:dyDescent="0.3">
      <c r="A236" s="17"/>
      <c r="B236" s="10" t="s">
        <v>67</v>
      </c>
      <c r="C236" s="16" t="s">
        <v>43</v>
      </c>
      <c r="D236" s="9">
        <v>621.20000000000005</v>
      </c>
      <c r="E236" s="9">
        <v>621.20000000000005</v>
      </c>
      <c r="F236" s="9"/>
      <c r="G236" s="40">
        <v>2420</v>
      </c>
      <c r="H236" s="40">
        <v>3025</v>
      </c>
      <c r="I236" s="40"/>
    </row>
    <row r="237" spans="1:9" x14ac:dyDescent="0.3">
      <c r="A237" s="17">
        <v>6</v>
      </c>
      <c r="B237" s="11" t="s">
        <v>68</v>
      </c>
      <c r="C237" s="16" t="s">
        <v>62</v>
      </c>
      <c r="D237" s="27">
        <v>1403</v>
      </c>
      <c r="E237" s="27"/>
      <c r="F237" s="9"/>
      <c r="G237" s="40">
        <f>479866.7+106890</f>
        <v>586756.69999999995</v>
      </c>
      <c r="H237" s="40"/>
      <c r="I237" s="40"/>
    </row>
    <row r="238" spans="1:9" x14ac:dyDescent="0.3">
      <c r="A238" s="15">
        <v>7</v>
      </c>
      <c r="B238" s="11" t="s">
        <v>82</v>
      </c>
      <c r="C238" s="25"/>
      <c r="D238" s="9"/>
      <c r="E238" s="9"/>
      <c r="F238" s="9"/>
      <c r="G238" s="40"/>
      <c r="H238" s="40"/>
      <c r="I238" s="40"/>
    </row>
    <row r="239" spans="1:9" ht="60" customHeight="1" x14ac:dyDescent="0.3">
      <c r="A239" s="19"/>
      <c r="B239" s="23" t="s">
        <v>75</v>
      </c>
      <c r="C239" s="26" t="s">
        <v>69</v>
      </c>
      <c r="D239" s="36">
        <v>140</v>
      </c>
      <c r="E239" s="36">
        <v>140</v>
      </c>
      <c r="F239" s="36"/>
      <c r="G239" s="40">
        <v>5704</v>
      </c>
      <c r="H239" s="40">
        <v>5704</v>
      </c>
      <c r="I239" s="40"/>
    </row>
    <row r="240" spans="1:9" ht="84.75" customHeight="1" x14ac:dyDescent="0.3">
      <c r="A240" s="19"/>
      <c r="B240" s="23" t="s">
        <v>76</v>
      </c>
      <c r="C240" s="18" t="s">
        <v>70</v>
      </c>
      <c r="D240" s="36">
        <v>405000</v>
      </c>
      <c r="E240" s="36">
        <v>405000</v>
      </c>
      <c r="F240" s="36"/>
      <c r="G240" s="40">
        <v>10604.1</v>
      </c>
      <c r="H240" s="40">
        <v>10604.1</v>
      </c>
      <c r="I240" s="40"/>
    </row>
    <row r="241" spans="1:9" ht="62.25" customHeight="1" x14ac:dyDescent="0.3">
      <c r="A241" s="20"/>
      <c r="B241" s="21" t="s">
        <v>71</v>
      </c>
      <c r="C241" s="18" t="s">
        <v>69</v>
      </c>
      <c r="D241" s="36">
        <v>2000</v>
      </c>
      <c r="E241" s="36">
        <v>2000</v>
      </c>
      <c r="F241" s="36"/>
      <c r="G241" s="40">
        <v>10530</v>
      </c>
      <c r="H241" s="40">
        <v>10530</v>
      </c>
      <c r="I241" s="40"/>
    </row>
    <row r="242" spans="1:9" ht="77.25" customHeight="1" x14ac:dyDescent="0.3">
      <c r="A242" s="20"/>
      <c r="B242" s="21" t="s">
        <v>77</v>
      </c>
      <c r="C242" s="18" t="s">
        <v>62</v>
      </c>
      <c r="D242" s="36">
        <v>50</v>
      </c>
      <c r="E242" s="36">
        <v>50</v>
      </c>
      <c r="F242" s="36"/>
      <c r="G242" s="40">
        <v>3399.2</v>
      </c>
      <c r="H242" s="40">
        <v>3399.2</v>
      </c>
      <c r="I242" s="40"/>
    </row>
    <row r="243" spans="1:9" ht="103.5" customHeight="1" x14ac:dyDescent="0.3">
      <c r="A243" s="20"/>
      <c r="B243" s="22" t="s">
        <v>78</v>
      </c>
      <c r="C243" s="8" t="s">
        <v>43</v>
      </c>
      <c r="D243" s="36">
        <v>2510</v>
      </c>
      <c r="E243" s="36">
        <v>2510</v>
      </c>
      <c r="F243" s="36"/>
      <c r="G243" s="40">
        <v>13680.9</v>
      </c>
      <c r="H243" s="40">
        <v>13680.9</v>
      </c>
      <c r="I243" s="40"/>
    </row>
    <row r="244" spans="1:9" ht="63" customHeight="1" x14ac:dyDescent="0.3">
      <c r="A244" s="20"/>
      <c r="B244" s="21" t="s">
        <v>79</v>
      </c>
      <c r="C244" s="18" t="s">
        <v>69</v>
      </c>
      <c r="D244" s="36">
        <v>3100</v>
      </c>
      <c r="E244" s="36">
        <v>3100</v>
      </c>
      <c r="F244" s="36"/>
      <c r="G244" s="40">
        <v>13595.7</v>
      </c>
      <c r="H244" s="40">
        <v>13595.7</v>
      </c>
      <c r="I244" s="40"/>
    </row>
    <row r="245" spans="1:9" ht="81.75" customHeight="1" x14ac:dyDescent="0.3">
      <c r="A245" s="20"/>
      <c r="B245" s="21" t="s">
        <v>80</v>
      </c>
      <c r="C245" s="18" t="s">
        <v>62</v>
      </c>
      <c r="D245" s="36">
        <v>50</v>
      </c>
      <c r="E245" s="36">
        <v>50</v>
      </c>
      <c r="F245" s="36"/>
      <c r="G245" s="40">
        <v>1759.2</v>
      </c>
      <c r="H245" s="40">
        <v>1759.2</v>
      </c>
      <c r="I245" s="40"/>
    </row>
    <row r="246" spans="1:9" ht="165.75" customHeight="1" x14ac:dyDescent="0.3">
      <c r="A246" s="20"/>
      <c r="B246" s="21" t="s">
        <v>81</v>
      </c>
      <c r="C246" s="18" t="s">
        <v>62</v>
      </c>
      <c r="D246" s="36">
        <v>345</v>
      </c>
      <c r="E246" s="36">
        <v>345</v>
      </c>
      <c r="F246" s="36"/>
      <c r="G246" s="40">
        <v>7736</v>
      </c>
      <c r="H246" s="40">
        <v>7736</v>
      </c>
      <c r="I246" s="40"/>
    </row>
    <row r="247" spans="1:9" ht="39.75" customHeight="1" x14ac:dyDescent="0.3">
      <c r="A247" s="17">
        <v>8</v>
      </c>
      <c r="B247" s="10" t="s">
        <v>83</v>
      </c>
      <c r="C247" s="9"/>
      <c r="D247" s="36"/>
      <c r="E247" s="36"/>
      <c r="F247" s="36"/>
      <c r="G247" s="43"/>
      <c r="H247" s="43"/>
      <c r="I247" s="43"/>
    </row>
    <row r="248" spans="1:9" ht="39.75" customHeight="1" x14ac:dyDescent="0.3">
      <c r="A248" s="17"/>
      <c r="B248" s="10" t="s">
        <v>84</v>
      </c>
      <c r="C248" s="9" t="s">
        <v>85</v>
      </c>
      <c r="D248" s="36">
        <v>82</v>
      </c>
      <c r="E248" s="36">
        <v>82</v>
      </c>
      <c r="F248" s="36">
        <v>82</v>
      </c>
      <c r="G248" s="43">
        <f>190306.6+617159.5</f>
        <v>807466.1</v>
      </c>
      <c r="H248" s="43">
        <f>190306.6+240129</f>
        <v>430435.6</v>
      </c>
      <c r="I248" s="43">
        <v>240129</v>
      </c>
    </row>
    <row r="249" spans="1:9" ht="53.25" customHeight="1" x14ac:dyDescent="0.3">
      <c r="A249" s="17">
        <v>9</v>
      </c>
      <c r="B249" s="10" t="s">
        <v>72</v>
      </c>
      <c r="C249" s="9" t="s">
        <v>43</v>
      </c>
      <c r="D249" s="4" t="s">
        <v>73</v>
      </c>
      <c r="E249" s="4" t="s">
        <v>73</v>
      </c>
      <c r="F249" s="36"/>
      <c r="G249" s="43">
        <f>504678.4+37086.2</f>
        <v>541764.6</v>
      </c>
      <c r="H249" s="43">
        <f>504678.4+19539.1</f>
        <v>524217.5</v>
      </c>
      <c r="I249" s="43">
        <v>19539.099999999999</v>
      </c>
    </row>
    <row r="250" spans="1:9" ht="21.75" customHeight="1" x14ac:dyDescent="0.3">
      <c r="A250" s="17">
        <v>10</v>
      </c>
      <c r="B250" s="10" t="s">
        <v>74</v>
      </c>
      <c r="C250" s="9" t="s">
        <v>43</v>
      </c>
      <c r="D250" s="36">
        <v>97996.2</v>
      </c>
      <c r="E250" s="36">
        <v>97996.2</v>
      </c>
      <c r="F250" s="36"/>
      <c r="G250" s="42">
        <v>389632.9</v>
      </c>
      <c r="H250" s="42">
        <v>389632.9</v>
      </c>
      <c r="I250" s="42"/>
    </row>
    <row r="251" spans="1:9" x14ac:dyDescent="0.3">
      <c r="A251" s="156" t="s">
        <v>15</v>
      </c>
      <c r="B251" s="157"/>
      <c r="C251" s="157"/>
      <c r="D251" s="157"/>
      <c r="E251" s="157"/>
      <c r="F251" s="158"/>
      <c r="G251" s="5">
        <f>G252+G263+G277</f>
        <v>5870803.2000000002</v>
      </c>
      <c r="H251" s="5">
        <f t="shared" ref="H251:I251" si="16">H252+H263+H277</f>
        <v>5742032.7000000002</v>
      </c>
      <c r="I251" s="5">
        <f t="shared" si="16"/>
        <v>5741772.7000000002</v>
      </c>
    </row>
    <row r="252" spans="1:9" x14ac:dyDescent="0.3">
      <c r="A252" s="80" t="s">
        <v>206</v>
      </c>
      <c r="B252" s="80"/>
      <c r="C252" s="80"/>
      <c r="D252" s="80"/>
      <c r="E252" s="80"/>
      <c r="F252" s="80"/>
      <c r="G252" s="82">
        <f>SUM(G254:G262)</f>
        <v>1419733.6000000003</v>
      </c>
      <c r="H252" s="82">
        <f t="shared" ref="H252:I252" si="17">SUM(H254:H262)</f>
        <v>1417248.6000000003</v>
      </c>
      <c r="I252" s="82">
        <f t="shared" si="17"/>
        <v>1417248.6000000003</v>
      </c>
    </row>
    <row r="253" spans="1:9" x14ac:dyDescent="0.3">
      <c r="A253" s="2" t="s">
        <v>207</v>
      </c>
      <c r="B253" s="2"/>
      <c r="C253" s="2"/>
      <c r="D253" s="2"/>
      <c r="E253" s="2"/>
      <c r="F253" s="2"/>
      <c r="G253" s="6"/>
      <c r="H253" s="6"/>
      <c r="I253" s="6"/>
    </row>
    <row r="254" spans="1:9" ht="40.5" customHeight="1" x14ac:dyDescent="0.3">
      <c r="A254" s="47">
        <v>1</v>
      </c>
      <c r="B254" s="24" t="s">
        <v>208</v>
      </c>
      <c r="C254" s="31" t="s">
        <v>209</v>
      </c>
      <c r="D254" s="36" t="s">
        <v>210</v>
      </c>
      <c r="E254" s="36" t="s">
        <v>211</v>
      </c>
      <c r="F254" s="36">
        <v>2008051</v>
      </c>
      <c r="G254" s="42">
        <v>314255.90000000002</v>
      </c>
      <c r="H254" s="42">
        <v>314255.90000000002</v>
      </c>
      <c r="I254" s="40">
        <v>314255.90000000002</v>
      </c>
    </row>
    <row r="255" spans="1:9" ht="37.5" x14ac:dyDescent="0.3">
      <c r="A255" s="47">
        <v>2</v>
      </c>
      <c r="B255" s="24" t="s">
        <v>212</v>
      </c>
      <c r="C255" s="31" t="s">
        <v>213</v>
      </c>
      <c r="D255" s="36" t="s">
        <v>214</v>
      </c>
      <c r="E255" s="36" t="s">
        <v>215</v>
      </c>
      <c r="F255" s="36" t="s">
        <v>216</v>
      </c>
      <c r="G255" s="42">
        <v>792256.3</v>
      </c>
      <c r="H255" s="42">
        <f>786771.3+3000</f>
        <v>789771.3</v>
      </c>
      <c r="I255" s="40">
        <f>786771.3+3000</f>
        <v>789771.3</v>
      </c>
    </row>
    <row r="256" spans="1:9" ht="56.25" x14ac:dyDescent="0.3">
      <c r="A256" s="47">
        <v>3</v>
      </c>
      <c r="B256" s="24" t="s">
        <v>217</v>
      </c>
      <c r="C256" s="31" t="s">
        <v>218</v>
      </c>
      <c r="D256" s="36" t="s">
        <v>219</v>
      </c>
      <c r="E256" s="36" t="s">
        <v>220</v>
      </c>
      <c r="F256" s="36" t="s">
        <v>221</v>
      </c>
      <c r="G256" s="42">
        <v>62167.6</v>
      </c>
      <c r="H256" s="42">
        <v>62167.6</v>
      </c>
      <c r="I256" s="40">
        <v>62167.6</v>
      </c>
    </row>
    <row r="257" spans="1:9" ht="37.5" x14ac:dyDescent="0.3">
      <c r="A257" s="47">
        <v>4</v>
      </c>
      <c r="B257" s="24" t="s">
        <v>222</v>
      </c>
      <c r="C257" s="31" t="s">
        <v>218</v>
      </c>
      <c r="D257" s="36">
        <v>22346</v>
      </c>
      <c r="E257" s="36">
        <v>21789</v>
      </c>
      <c r="F257" s="36">
        <v>21241</v>
      </c>
      <c r="G257" s="42">
        <v>22763.1</v>
      </c>
      <c r="H257" s="42">
        <v>22763.1</v>
      </c>
      <c r="I257" s="40">
        <v>22763.1</v>
      </c>
    </row>
    <row r="258" spans="1:9" ht="56.25" x14ac:dyDescent="0.3">
      <c r="A258" s="47">
        <v>5</v>
      </c>
      <c r="B258" s="24" t="s">
        <v>223</v>
      </c>
      <c r="C258" s="31" t="s">
        <v>224</v>
      </c>
      <c r="D258" s="36">
        <v>57</v>
      </c>
      <c r="E258" s="36">
        <v>57</v>
      </c>
      <c r="F258" s="36">
        <v>90</v>
      </c>
      <c r="G258" s="42">
        <v>10588.7</v>
      </c>
      <c r="H258" s="42">
        <v>10588.7</v>
      </c>
      <c r="I258" s="40">
        <v>10588.7</v>
      </c>
    </row>
    <row r="259" spans="1:9" ht="168.75" x14ac:dyDescent="0.3">
      <c r="A259" s="47">
        <v>6</v>
      </c>
      <c r="B259" s="24" t="s">
        <v>225</v>
      </c>
      <c r="C259" s="31" t="s">
        <v>226</v>
      </c>
      <c r="D259" s="36">
        <v>724</v>
      </c>
      <c r="E259" s="36">
        <v>724</v>
      </c>
      <c r="F259" s="36">
        <v>724</v>
      </c>
      <c r="G259" s="42">
        <v>25057.200000000001</v>
      </c>
      <c r="H259" s="42">
        <v>25057.200000000001</v>
      </c>
      <c r="I259" s="40">
        <v>25057.200000000001</v>
      </c>
    </row>
    <row r="260" spans="1:9" ht="56.25" x14ac:dyDescent="0.3">
      <c r="A260" s="47">
        <v>7</v>
      </c>
      <c r="B260" s="24" t="s">
        <v>227</v>
      </c>
      <c r="C260" s="31" t="s">
        <v>224</v>
      </c>
      <c r="D260" s="36">
        <v>813803</v>
      </c>
      <c r="E260" s="36">
        <v>816219</v>
      </c>
      <c r="F260" s="36">
        <v>818603</v>
      </c>
      <c r="G260" s="42">
        <v>75746.5</v>
      </c>
      <c r="H260" s="42">
        <v>75746.5</v>
      </c>
      <c r="I260" s="40">
        <v>75746.5</v>
      </c>
    </row>
    <row r="261" spans="1:9" ht="37.5" x14ac:dyDescent="0.3">
      <c r="A261" s="47">
        <v>8</v>
      </c>
      <c r="B261" s="24" t="s">
        <v>228</v>
      </c>
      <c r="C261" s="31" t="s">
        <v>224</v>
      </c>
      <c r="D261" s="36">
        <v>1152</v>
      </c>
      <c r="E261" s="36">
        <v>1152</v>
      </c>
      <c r="F261" s="36">
        <v>1149</v>
      </c>
      <c r="G261" s="42">
        <v>23553</v>
      </c>
      <c r="H261" s="42">
        <v>23553</v>
      </c>
      <c r="I261" s="40">
        <v>23553</v>
      </c>
    </row>
    <row r="262" spans="1:9" ht="58.5" customHeight="1" x14ac:dyDescent="0.3">
      <c r="A262" s="47">
        <v>9</v>
      </c>
      <c r="B262" s="24" t="s">
        <v>27</v>
      </c>
      <c r="C262" s="31" t="s">
        <v>29</v>
      </c>
      <c r="D262" s="36">
        <v>4186</v>
      </c>
      <c r="E262" s="36">
        <v>4260</v>
      </c>
      <c r="F262" s="36">
        <v>4374</v>
      </c>
      <c r="G262" s="42">
        <v>93345.3</v>
      </c>
      <c r="H262" s="42">
        <v>93345.3</v>
      </c>
      <c r="I262" s="40">
        <v>93345.3</v>
      </c>
    </row>
    <row r="263" spans="1:9" x14ac:dyDescent="0.3">
      <c r="A263" s="80" t="s">
        <v>229</v>
      </c>
      <c r="B263" s="80"/>
      <c r="C263" s="80"/>
      <c r="D263" s="80"/>
      <c r="E263" s="80"/>
      <c r="F263" s="80"/>
      <c r="G263" s="83">
        <f>SUM(G265:G276)</f>
        <v>4393974.0999999996</v>
      </c>
      <c r="H263" s="83">
        <f t="shared" ref="H263:I263" si="18">SUM(H265:H276)</f>
        <v>4268516</v>
      </c>
      <c r="I263" s="83">
        <f t="shared" si="18"/>
        <v>4268256</v>
      </c>
    </row>
    <row r="264" spans="1:9" x14ac:dyDescent="0.3">
      <c r="A264" s="2" t="s">
        <v>207</v>
      </c>
      <c r="B264" s="2"/>
      <c r="C264" s="2"/>
      <c r="D264" s="2"/>
      <c r="E264" s="2"/>
      <c r="F264" s="2"/>
      <c r="G264" s="42"/>
      <c r="H264" s="42"/>
      <c r="I264" s="40"/>
    </row>
    <row r="265" spans="1:9" ht="37.5" x14ac:dyDescent="0.3">
      <c r="A265" s="31">
        <v>1</v>
      </c>
      <c r="B265" s="35" t="s">
        <v>230</v>
      </c>
      <c r="C265" s="31" t="s">
        <v>231</v>
      </c>
      <c r="D265" s="36">
        <v>939630</v>
      </c>
      <c r="E265" s="36">
        <v>942745</v>
      </c>
      <c r="F265" s="36">
        <v>945630</v>
      </c>
      <c r="G265" s="33">
        <v>2442412.2999999998</v>
      </c>
      <c r="H265" s="33">
        <v>2415227.1</v>
      </c>
      <c r="I265" s="33">
        <v>2415227.1</v>
      </c>
    </row>
    <row r="266" spans="1:9" ht="37.5" x14ac:dyDescent="0.3">
      <c r="A266" s="31">
        <v>2</v>
      </c>
      <c r="B266" s="35" t="s">
        <v>232</v>
      </c>
      <c r="C266" s="31" t="s">
        <v>231</v>
      </c>
      <c r="D266" s="36">
        <v>424108</v>
      </c>
      <c r="E266" s="36">
        <v>425586</v>
      </c>
      <c r="F266" s="36">
        <v>426310</v>
      </c>
      <c r="G266" s="33">
        <v>1128632.7</v>
      </c>
      <c r="H266" s="33">
        <v>1128632.7</v>
      </c>
      <c r="I266" s="33">
        <v>1128632.7</v>
      </c>
    </row>
    <row r="267" spans="1:9" ht="29.25" customHeight="1" x14ac:dyDescent="0.3">
      <c r="A267" s="31">
        <v>3</v>
      </c>
      <c r="B267" s="35" t="s">
        <v>233</v>
      </c>
      <c r="C267" s="31" t="s">
        <v>231</v>
      </c>
      <c r="D267" s="36">
        <v>4359</v>
      </c>
      <c r="E267" s="36">
        <v>4427</v>
      </c>
      <c r="F267" s="36">
        <v>4495</v>
      </c>
      <c r="G267" s="33">
        <v>11992</v>
      </c>
      <c r="H267" s="33">
        <v>11992</v>
      </c>
      <c r="I267" s="33">
        <v>11992</v>
      </c>
    </row>
    <row r="268" spans="1:9" ht="75" x14ac:dyDescent="0.3">
      <c r="A268" s="31">
        <v>4</v>
      </c>
      <c r="B268" s="35" t="s">
        <v>234</v>
      </c>
      <c r="C268" s="31" t="s">
        <v>235</v>
      </c>
      <c r="D268" s="36">
        <v>22</v>
      </c>
      <c r="E268" s="36">
        <v>22</v>
      </c>
      <c r="F268" s="36">
        <v>22</v>
      </c>
      <c r="G268" s="33">
        <v>39946</v>
      </c>
      <c r="H268" s="33">
        <v>29946</v>
      </c>
      <c r="I268" s="33">
        <v>29946</v>
      </c>
    </row>
    <row r="269" spans="1:9" ht="75" x14ac:dyDescent="0.3">
      <c r="A269" s="31">
        <v>5</v>
      </c>
      <c r="B269" s="35" t="s">
        <v>236</v>
      </c>
      <c r="C269" s="31" t="s">
        <v>237</v>
      </c>
      <c r="D269" s="36">
        <v>2</v>
      </c>
      <c r="E269" s="36">
        <v>2</v>
      </c>
      <c r="F269" s="36">
        <v>2</v>
      </c>
      <c r="G269" s="33">
        <v>15500</v>
      </c>
      <c r="H269" s="33">
        <v>15500</v>
      </c>
      <c r="I269" s="33">
        <v>15500</v>
      </c>
    </row>
    <row r="270" spans="1:9" x14ac:dyDescent="0.3">
      <c r="A270" s="31">
        <v>6</v>
      </c>
      <c r="B270" s="35" t="s">
        <v>238</v>
      </c>
      <c r="C270" s="31" t="s">
        <v>239</v>
      </c>
      <c r="D270" s="36">
        <v>42</v>
      </c>
      <c r="E270" s="36">
        <v>42</v>
      </c>
      <c r="F270" s="36">
        <v>42</v>
      </c>
      <c r="G270" s="33">
        <v>11700.6</v>
      </c>
      <c r="H270" s="33">
        <v>11700.6</v>
      </c>
      <c r="I270" s="33">
        <v>11700.6</v>
      </c>
    </row>
    <row r="271" spans="1:9" ht="37.5" x14ac:dyDescent="0.3">
      <c r="A271" s="31">
        <v>7</v>
      </c>
      <c r="B271" s="35" t="s">
        <v>240</v>
      </c>
      <c r="C271" s="31" t="s">
        <v>241</v>
      </c>
      <c r="D271" s="36">
        <v>6450</v>
      </c>
      <c r="E271" s="36">
        <v>6450</v>
      </c>
      <c r="F271" s="36">
        <v>6450</v>
      </c>
      <c r="G271" s="33">
        <v>30071.4</v>
      </c>
      <c r="H271" s="33">
        <v>30071.4</v>
      </c>
      <c r="I271" s="33">
        <v>30071.4</v>
      </c>
    </row>
    <row r="272" spans="1:9" ht="37.5" x14ac:dyDescent="0.3">
      <c r="A272" s="31">
        <v>8</v>
      </c>
      <c r="B272" s="35" t="s">
        <v>242</v>
      </c>
      <c r="C272" s="31" t="s">
        <v>243</v>
      </c>
      <c r="D272" s="36">
        <v>44173</v>
      </c>
      <c r="E272" s="36">
        <v>44173</v>
      </c>
      <c r="F272" s="36">
        <v>44173</v>
      </c>
      <c r="G272" s="57">
        <v>36355.9</v>
      </c>
      <c r="H272" s="57">
        <v>17742.5</v>
      </c>
      <c r="I272" s="57">
        <v>17742.5</v>
      </c>
    </row>
    <row r="273" spans="1:9" x14ac:dyDescent="0.3">
      <c r="A273" s="31">
        <v>9</v>
      </c>
      <c r="B273" s="35" t="s">
        <v>118</v>
      </c>
      <c r="C273" s="31" t="s">
        <v>244</v>
      </c>
      <c r="D273" s="36">
        <v>200</v>
      </c>
      <c r="E273" s="36">
        <v>200</v>
      </c>
      <c r="F273" s="36">
        <v>200</v>
      </c>
      <c r="G273" s="33">
        <v>13646.3</v>
      </c>
      <c r="H273" s="33">
        <v>10</v>
      </c>
      <c r="I273" s="33">
        <v>10</v>
      </c>
    </row>
    <row r="274" spans="1:9" ht="37.5" x14ac:dyDescent="0.3">
      <c r="A274" s="31">
        <v>10</v>
      </c>
      <c r="B274" s="35" t="s">
        <v>104</v>
      </c>
      <c r="C274" s="31" t="s">
        <v>105</v>
      </c>
      <c r="D274" s="36">
        <v>143</v>
      </c>
      <c r="E274" s="36">
        <v>143</v>
      </c>
      <c r="F274" s="36">
        <v>143</v>
      </c>
      <c r="G274" s="33">
        <v>34901.9</v>
      </c>
      <c r="H274" s="33">
        <v>34901.9</v>
      </c>
      <c r="I274" s="33">
        <v>34901.9</v>
      </c>
    </row>
    <row r="275" spans="1:9" ht="75" x14ac:dyDescent="0.3">
      <c r="A275" s="31">
        <v>11</v>
      </c>
      <c r="B275" s="35" t="s">
        <v>245</v>
      </c>
      <c r="C275" s="31" t="s">
        <v>246</v>
      </c>
      <c r="D275" s="36">
        <v>132</v>
      </c>
      <c r="E275" s="36">
        <v>132</v>
      </c>
      <c r="F275" s="36">
        <v>132</v>
      </c>
      <c r="G275" s="33">
        <v>25574</v>
      </c>
      <c r="H275" s="33">
        <v>25574</v>
      </c>
      <c r="I275" s="33">
        <v>25574</v>
      </c>
    </row>
    <row r="276" spans="1:9" ht="37.5" x14ac:dyDescent="0.3">
      <c r="A276" s="31">
        <v>12</v>
      </c>
      <c r="B276" s="35" t="s">
        <v>27</v>
      </c>
      <c r="C276" s="31" t="s">
        <v>29</v>
      </c>
      <c r="D276" s="36">
        <v>233</v>
      </c>
      <c r="E276" s="36">
        <v>2358</v>
      </c>
      <c r="F276" s="36" t="s">
        <v>247</v>
      </c>
      <c r="G276" s="33">
        <f>601828.5+1412.5</f>
        <v>603241</v>
      </c>
      <c r="H276" s="33">
        <f>545805.3+1412.5</f>
        <v>547217.80000000005</v>
      </c>
      <c r="I276" s="33">
        <f>545545.3+1412.5</f>
        <v>546957.80000000005</v>
      </c>
    </row>
    <row r="277" spans="1:9" x14ac:dyDescent="0.3">
      <c r="A277" s="80" t="s">
        <v>248</v>
      </c>
      <c r="B277" s="80"/>
      <c r="C277" s="80"/>
      <c r="D277" s="84"/>
      <c r="E277" s="84"/>
      <c r="F277" s="84"/>
      <c r="G277" s="82">
        <f>SUM(G279:G281)</f>
        <v>57095.5</v>
      </c>
      <c r="H277" s="82">
        <f t="shared" ref="H277:I277" si="19">SUM(H279:H281)</f>
        <v>56268.100000000006</v>
      </c>
      <c r="I277" s="82">
        <f t="shared" si="19"/>
        <v>56268.100000000006</v>
      </c>
    </row>
    <row r="278" spans="1:9" x14ac:dyDescent="0.3">
      <c r="A278" s="2" t="s">
        <v>207</v>
      </c>
      <c r="B278" s="2"/>
      <c r="C278" s="2"/>
      <c r="D278" s="53"/>
      <c r="E278" s="53"/>
      <c r="F278" s="53"/>
      <c r="G278" s="6"/>
      <c r="H278" s="6"/>
      <c r="I278" s="6"/>
    </row>
    <row r="279" spans="1:9" ht="37.5" x14ac:dyDescent="0.3">
      <c r="A279" s="31">
        <v>1</v>
      </c>
      <c r="B279" s="35" t="s">
        <v>249</v>
      </c>
      <c r="C279" s="31" t="s">
        <v>250</v>
      </c>
      <c r="D279" s="36">
        <v>28160</v>
      </c>
      <c r="E279" s="36">
        <v>28160</v>
      </c>
      <c r="F279" s="36">
        <v>28160</v>
      </c>
      <c r="G279" s="33">
        <f>26870.5+2788.9</f>
        <v>29659.4</v>
      </c>
      <c r="H279" s="33">
        <f>26043.1+2788.9</f>
        <v>28832</v>
      </c>
      <c r="I279" s="33">
        <f>26043.1+2788.9</f>
        <v>28832</v>
      </c>
    </row>
    <row r="280" spans="1:9" ht="57.75" customHeight="1" x14ac:dyDescent="0.3">
      <c r="A280" s="31">
        <v>2</v>
      </c>
      <c r="B280" s="35" t="s">
        <v>118</v>
      </c>
      <c r="C280" s="31" t="s">
        <v>251</v>
      </c>
      <c r="D280" s="36">
        <v>1</v>
      </c>
      <c r="E280" s="36">
        <v>1</v>
      </c>
      <c r="F280" s="36">
        <v>1</v>
      </c>
      <c r="G280" s="33">
        <v>3296.2</v>
      </c>
      <c r="H280" s="33">
        <v>3296.2</v>
      </c>
      <c r="I280" s="33">
        <v>3296.2</v>
      </c>
    </row>
    <row r="281" spans="1:9" ht="37.5" x14ac:dyDescent="0.3">
      <c r="A281" s="31">
        <v>3</v>
      </c>
      <c r="B281" s="35" t="s">
        <v>27</v>
      </c>
      <c r="C281" s="31" t="s">
        <v>29</v>
      </c>
      <c r="D281" s="36">
        <v>91</v>
      </c>
      <c r="E281" s="36">
        <v>90</v>
      </c>
      <c r="F281" s="36">
        <v>91</v>
      </c>
      <c r="G281" s="33">
        <v>24139.9</v>
      </c>
      <c r="H281" s="33">
        <v>24139.9</v>
      </c>
      <c r="I281" s="33">
        <v>24139.9</v>
      </c>
    </row>
    <row r="282" spans="1:9" x14ac:dyDescent="0.3">
      <c r="A282" s="156" t="s">
        <v>16</v>
      </c>
      <c r="B282" s="157"/>
      <c r="C282" s="157"/>
      <c r="D282" s="157"/>
      <c r="E282" s="157"/>
      <c r="F282" s="158"/>
      <c r="G282" s="28">
        <f>G283+G286+G296+G309</f>
        <v>5014554.3999999994</v>
      </c>
      <c r="H282" s="28">
        <f t="shared" ref="H282:I282" si="20">H283+H286+H296+H309</f>
        <v>4382771.6999999993</v>
      </c>
      <c r="I282" s="28">
        <f t="shared" si="20"/>
        <v>4384067.0999999996</v>
      </c>
    </row>
    <row r="283" spans="1:9" ht="18.75" customHeight="1" x14ac:dyDescent="0.3">
      <c r="A283" s="80" t="s">
        <v>282</v>
      </c>
      <c r="B283" s="80"/>
      <c r="C283" s="80"/>
      <c r="D283" s="80"/>
      <c r="E283" s="80"/>
      <c r="F283" s="80"/>
      <c r="G283" s="64">
        <f>G285</f>
        <v>45695.8</v>
      </c>
      <c r="H283" s="64">
        <f t="shared" ref="H283:I283" si="21">H285</f>
        <v>0</v>
      </c>
      <c r="I283" s="64">
        <f t="shared" si="21"/>
        <v>0</v>
      </c>
    </row>
    <row r="284" spans="1:9" x14ac:dyDescent="0.3">
      <c r="A284" s="2" t="s">
        <v>283</v>
      </c>
      <c r="B284" s="2"/>
      <c r="C284" s="2"/>
      <c r="D284" s="2"/>
      <c r="E284" s="2"/>
      <c r="F284" s="2"/>
      <c r="G284" s="2"/>
      <c r="H284" s="2"/>
      <c r="I284" s="2"/>
    </row>
    <row r="285" spans="1:9" ht="75" x14ac:dyDescent="0.3">
      <c r="A285" s="31">
        <v>1</v>
      </c>
      <c r="B285" s="35" t="s">
        <v>284</v>
      </c>
      <c r="C285" s="31" t="s">
        <v>285</v>
      </c>
      <c r="D285" s="36"/>
      <c r="E285" s="36"/>
      <c r="F285" s="36"/>
      <c r="G285" s="33">
        <f>30671.7+15024.1</f>
        <v>45695.8</v>
      </c>
      <c r="H285" s="33"/>
      <c r="I285" s="33"/>
    </row>
    <row r="286" spans="1:9" x14ac:dyDescent="0.3">
      <c r="A286" s="80" t="s">
        <v>286</v>
      </c>
      <c r="B286" s="80"/>
      <c r="C286" s="80"/>
      <c r="D286" s="80"/>
      <c r="E286" s="80"/>
      <c r="F286" s="80"/>
      <c r="G286" s="64">
        <f>SUM(G288:G295)</f>
        <v>1378651.6</v>
      </c>
      <c r="H286" s="64">
        <f t="shared" ref="H286:I286" si="22">SUM(H288:H295)</f>
        <v>1049362.9999999998</v>
      </c>
      <c r="I286" s="64">
        <f t="shared" si="22"/>
        <v>1049362.9999999998</v>
      </c>
    </row>
    <row r="287" spans="1:9" x14ac:dyDescent="0.3">
      <c r="A287" s="2" t="s">
        <v>283</v>
      </c>
      <c r="B287" s="2"/>
      <c r="C287" s="2"/>
      <c r="D287" s="2"/>
      <c r="E287" s="2"/>
      <c r="F287" s="2"/>
      <c r="G287" s="2"/>
      <c r="H287" s="2"/>
      <c r="I287" s="2"/>
    </row>
    <row r="288" spans="1:9" x14ac:dyDescent="0.3">
      <c r="A288" s="31">
        <v>1</v>
      </c>
      <c r="B288" s="35" t="s">
        <v>287</v>
      </c>
      <c r="C288" s="31" t="s">
        <v>288</v>
      </c>
      <c r="D288" s="36">
        <v>45</v>
      </c>
      <c r="E288" s="36">
        <v>45</v>
      </c>
      <c r="F288" s="36">
        <v>45</v>
      </c>
      <c r="G288" s="33">
        <v>1026471.6</v>
      </c>
      <c r="H288" s="33">
        <v>848837.6</v>
      </c>
      <c r="I288" s="33">
        <v>848837.6</v>
      </c>
    </row>
    <row r="289" spans="1:9" ht="75" x14ac:dyDescent="0.3">
      <c r="A289" s="31">
        <v>2</v>
      </c>
      <c r="B289" s="35" t="s">
        <v>289</v>
      </c>
      <c r="C289" s="31" t="s">
        <v>290</v>
      </c>
      <c r="D289" s="36">
        <f>1+8</f>
        <v>9</v>
      </c>
      <c r="E289" s="36">
        <f>1+7</f>
        <v>8</v>
      </c>
      <c r="F289" s="36">
        <v>1</v>
      </c>
      <c r="G289" s="33">
        <f>532.7+34300.1</f>
        <v>34832.799999999996</v>
      </c>
      <c r="H289" s="33">
        <f>525.4+10423.3</f>
        <v>10948.699999999999</v>
      </c>
      <c r="I289" s="33">
        <f>525.4+10423.3</f>
        <v>10948.699999999999</v>
      </c>
    </row>
    <row r="290" spans="1:9" ht="56.25" x14ac:dyDescent="0.3">
      <c r="A290" s="31">
        <v>3</v>
      </c>
      <c r="B290" s="35" t="s">
        <v>291</v>
      </c>
      <c r="C290" s="31" t="s">
        <v>292</v>
      </c>
      <c r="D290" s="36">
        <f>66+45+7</f>
        <v>118</v>
      </c>
      <c r="E290" s="36">
        <f>66+45+7</f>
        <v>118</v>
      </c>
      <c r="F290" s="36">
        <f>66+45+7</f>
        <v>118</v>
      </c>
      <c r="G290" s="33">
        <f>68867.6+3060.8+4483.8</f>
        <v>76412.200000000012</v>
      </c>
      <c r="H290" s="33">
        <f>64301.8+2953.5+2861.8</f>
        <v>70117.100000000006</v>
      </c>
      <c r="I290" s="33">
        <f>64301.8+2953.5+2861.8</f>
        <v>70117.100000000006</v>
      </c>
    </row>
    <row r="291" spans="1:9" ht="37.5" x14ac:dyDescent="0.3">
      <c r="A291" s="31">
        <v>4</v>
      </c>
      <c r="B291" s="35" t="s">
        <v>293</v>
      </c>
      <c r="C291" s="31" t="s">
        <v>292</v>
      </c>
      <c r="D291" s="36">
        <f>470+3</f>
        <v>473</v>
      </c>
      <c r="E291" s="36">
        <f t="shared" ref="E291:F291" si="23">470+3</f>
        <v>473</v>
      </c>
      <c r="F291" s="36">
        <f t="shared" si="23"/>
        <v>473</v>
      </c>
      <c r="G291" s="33">
        <f>38522.1+4952.7</f>
        <v>43474.799999999996</v>
      </c>
      <c r="H291" s="33">
        <f>31439.4+4094.2</f>
        <v>35533.599999999999</v>
      </c>
      <c r="I291" s="33">
        <f>31439.4+4094.2</f>
        <v>35533.599999999999</v>
      </c>
    </row>
    <row r="292" spans="1:9" ht="37.5" x14ac:dyDescent="0.3">
      <c r="A292" s="31">
        <v>5</v>
      </c>
      <c r="B292" s="35" t="s">
        <v>294</v>
      </c>
      <c r="C292" s="31" t="s">
        <v>292</v>
      </c>
      <c r="D292" s="36">
        <f>32+45+2</f>
        <v>79</v>
      </c>
      <c r="E292" s="36">
        <f t="shared" ref="E292:F292" si="24">32+45+2</f>
        <v>79</v>
      </c>
      <c r="F292" s="36">
        <f t="shared" si="24"/>
        <v>79</v>
      </c>
      <c r="G292" s="33">
        <f>4350.3+118970.4+29725.4</f>
        <v>153046.1</v>
      </c>
      <c r="H292" s="33">
        <f>4350.3+18453.4+28525.4</f>
        <v>51329.100000000006</v>
      </c>
      <c r="I292" s="33">
        <f>4350.3+18453.4+28525.4</f>
        <v>51329.100000000006</v>
      </c>
    </row>
    <row r="293" spans="1:9" ht="37.5" x14ac:dyDescent="0.3">
      <c r="A293" s="31">
        <v>6</v>
      </c>
      <c r="B293" s="35" t="s">
        <v>295</v>
      </c>
      <c r="C293" s="31" t="s">
        <v>296</v>
      </c>
      <c r="D293" s="36">
        <v>650</v>
      </c>
      <c r="E293" s="36">
        <v>650</v>
      </c>
      <c r="F293" s="36">
        <v>650</v>
      </c>
      <c r="G293" s="33">
        <v>39322.6</v>
      </c>
      <c r="H293" s="33">
        <v>27505.4</v>
      </c>
      <c r="I293" s="33">
        <v>27505.4</v>
      </c>
    </row>
    <row r="294" spans="1:9" ht="75" x14ac:dyDescent="0.3">
      <c r="A294" s="31">
        <v>7</v>
      </c>
      <c r="B294" s="35" t="s">
        <v>297</v>
      </c>
      <c r="C294" s="31" t="s">
        <v>292</v>
      </c>
      <c r="D294" s="36">
        <v>4</v>
      </c>
      <c r="E294" s="36">
        <v>4</v>
      </c>
      <c r="F294" s="36">
        <v>4</v>
      </c>
      <c r="G294" s="33">
        <v>4480.1000000000004</v>
      </c>
      <c r="H294" s="33">
        <v>4480.1000000000004</v>
      </c>
      <c r="I294" s="33">
        <v>4480.1000000000004</v>
      </c>
    </row>
    <row r="295" spans="1:9" ht="37.5" x14ac:dyDescent="0.3">
      <c r="A295" s="31">
        <v>8</v>
      </c>
      <c r="B295" s="35" t="s">
        <v>298</v>
      </c>
      <c r="C295" s="31" t="s">
        <v>292</v>
      </c>
      <c r="D295" s="36">
        <v>100</v>
      </c>
      <c r="E295" s="36">
        <v>100</v>
      </c>
      <c r="F295" s="36">
        <v>100</v>
      </c>
      <c r="G295" s="33">
        <v>611.4</v>
      </c>
      <c r="H295" s="33">
        <v>611.4</v>
      </c>
      <c r="I295" s="33">
        <v>611.4</v>
      </c>
    </row>
    <row r="296" spans="1:9" x14ac:dyDescent="0.3">
      <c r="A296" s="80" t="s">
        <v>299</v>
      </c>
      <c r="B296" s="35"/>
      <c r="C296" s="31"/>
      <c r="D296" s="36"/>
      <c r="E296" s="36"/>
      <c r="F296" s="36"/>
      <c r="G296" s="79">
        <f>SUM(G298:G308)</f>
        <v>1754436.6999999997</v>
      </c>
      <c r="H296" s="79">
        <f t="shared" ref="H296:I296" si="25">SUM(H298:H308)</f>
        <v>1649409.8999999997</v>
      </c>
      <c r="I296" s="79">
        <f t="shared" si="25"/>
        <v>1649409.8999999997</v>
      </c>
    </row>
    <row r="297" spans="1:9" x14ac:dyDescent="0.3">
      <c r="A297" s="2" t="s">
        <v>283</v>
      </c>
      <c r="B297" s="35"/>
      <c r="C297" s="31"/>
      <c r="D297" s="36"/>
      <c r="E297" s="36"/>
      <c r="F297" s="36"/>
      <c r="G297" s="33"/>
      <c r="H297" s="33"/>
      <c r="I297" s="33"/>
    </row>
    <row r="298" spans="1:9" ht="75" x14ac:dyDescent="0.3">
      <c r="A298" s="31">
        <v>1</v>
      </c>
      <c r="B298" s="35" t="s">
        <v>284</v>
      </c>
      <c r="C298" s="31" t="s">
        <v>285</v>
      </c>
      <c r="D298" s="36">
        <v>373</v>
      </c>
      <c r="E298" s="36"/>
      <c r="F298" s="36"/>
      <c r="G298" s="33">
        <v>63469.9</v>
      </c>
      <c r="H298" s="33">
        <v>36551.699999999997</v>
      </c>
      <c r="I298" s="33">
        <v>36551.699999999997</v>
      </c>
    </row>
    <row r="299" spans="1:9" ht="56.25" x14ac:dyDescent="0.3">
      <c r="A299" s="31">
        <v>2</v>
      </c>
      <c r="B299" s="35" t="s">
        <v>118</v>
      </c>
      <c r="C299" s="31" t="s">
        <v>300</v>
      </c>
      <c r="D299" s="36">
        <v>3</v>
      </c>
      <c r="E299" s="36">
        <v>3</v>
      </c>
      <c r="F299" s="36">
        <v>3</v>
      </c>
      <c r="G299" s="33">
        <v>1615.7</v>
      </c>
      <c r="H299" s="33">
        <v>1584.1</v>
      </c>
      <c r="I299" s="33">
        <v>1584.1</v>
      </c>
    </row>
    <row r="300" spans="1:9" ht="56.25" x14ac:dyDescent="0.3">
      <c r="A300" s="31">
        <v>3</v>
      </c>
      <c r="B300" s="35" t="s">
        <v>301</v>
      </c>
      <c r="C300" s="31" t="s">
        <v>292</v>
      </c>
      <c r="D300" s="36">
        <v>174</v>
      </c>
      <c r="E300" s="36"/>
      <c r="F300" s="36"/>
      <c r="G300" s="33">
        <v>23215.4</v>
      </c>
      <c r="H300" s="33"/>
      <c r="I300" s="33"/>
    </row>
    <row r="301" spans="1:9" x14ac:dyDescent="0.3">
      <c r="A301" s="31">
        <v>4</v>
      </c>
      <c r="B301" s="35" t="s">
        <v>287</v>
      </c>
      <c r="C301" s="31" t="s">
        <v>288</v>
      </c>
      <c r="D301" s="36">
        <v>57</v>
      </c>
      <c r="E301" s="36">
        <v>57</v>
      </c>
      <c r="F301" s="36">
        <v>57</v>
      </c>
      <c r="G301" s="33">
        <v>600446.30000000005</v>
      </c>
      <c r="H301" s="33">
        <v>609779.5</v>
      </c>
      <c r="I301" s="33">
        <v>609779.5</v>
      </c>
    </row>
    <row r="302" spans="1:9" ht="56.25" x14ac:dyDescent="0.3">
      <c r="A302" s="31">
        <v>5</v>
      </c>
      <c r="B302" s="35" t="s">
        <v>302</v>
      </c>
      <c r="C302" s="31" t="s">
        <v>292</v>
      </c>
      <c r="D302" s="36">
        <v>7</v>
      </c>
      <c r="E302" s="36">
        <v>7</v>
      </c>
      <c r="F302" s="36">
        <v>7</v>
      </c>
      <c r="G302" s="33">
        <f>8429.4+15523.3+689.9</f>
        <v>24642.6</v>
      </c>
      <c r="H302" s="33">
        <f>5632.1+16689.2+766.6</f>
        <v>23087.9</v>
      </c>
      <c r="I302" s="33">
        <f>5632.1+16689.2+766.6</f>
        <v>23087.9</v>
      </c>
    </row>
    <row r="303" spans="1:9" ht="56.25" x14ac:dyDescent="0.3">
      <c r="A303" s="31">
        <v>6</v>
      </c>
      <c r="B303" s="35" t="s">
        <v>303</v>
      </c>
      <c r="C303" s="31" t="s">
        <v>304</v>
      </c>
      <c r="D303" s="36">
        <v>139</v>
      </c>
      <c r="E303" s="36">
        <v>139</v>
      </c>
      <c r="F303" s="36">
        <v>139</v>
      </c>
      <c r="G303" s="33">
        <v>37025.599999999999</v>
      </c>
      <c r="H303" s="33">
        <v>38684.100000000006</v>
      </c>
      <c r="I303" s="33">
        <v>38684.100000000006</v>
      </c>
    </row>
    <row r="304" spans="1:9" ht="37.5" x14ac:dyDescent="0.3">
      <c r="A304" s="31">
        <v>7</v>
      </c>
      <c r="B304" s="35" t="s">
        <v>293</v>
      </c>
      <c r="C304" s="31" t="s">
        <v>292</v>
      </c>
      <c r="D304" s="36">
        <v>77</v>
      </c>
      <c r="E304" s="36">
        <v>77</v>
      </c>
      <c r="F304" s="36">
        <v>77</v>
      </c>
      <c r="G304" s="33">
        <f>51767.6+8663.2+1116.4</f>
        <v>61547.200000000004</v>
      </c>
      <c r="H304" s="33">
        <f>49096+8159.9+1062.6</f>
        <v>58318.5</v>
      </c>
      <c r="I304" s="33">
        <f>49096+8159.9+1062.6</f>
        <v>58318.5</v>
      </c>
    </row>
    <row r="305" spans="1:9" ht="56.25" x14ac:dyDescent="0.3">
      <c r="A305" s="31">
        <v>8</v>
      </c>
      <c r="B305" s="35" t="s">
        <v>291</v>
      </c>
      <c r="C305" s="31" t="s">
        <v>292</v>
      </c>
      <c r="D305" s="36">
        <v>4</v>
      </c>
      <c r="E305" s="36">
        <v>4</v>
      </c>
      <c r="F305" s="36">
        <v>4</v>
      </c>
      <c r="G305" s="33">
        <f>5775.9+3945.6</f>
        <v>9721.5</v>
      </c>
      <c r="H305" s="33">
        <f>5775.9+2770.3</f>
        <v>8546.2000000000007</v>
      </c>
      <c r="I305" s="33">
        <f>5775.9+2770.3</f>
        <v>8546.2000000000007</v>
      </c>
    </row>
    <row r="306" spans="1:9" ht="37.5" x14ac:dyDescent="0.3">
      <c r="A306" s="31">
        <v>9</v>
      </c>
      <c r="B306" s="35" t="s">
        <v>295</v>
      </c>
      <c r="C306" s="31" t="s">
        <v>296</v>
      </c>
      <c r="D306" s="36">
        <v>3769</v>
      </c>
      <c r="E306" s="36">
        <v>3769</v>
      </c>
      <c r="F306" s="36">
        <v>3769</v>
      </c>
      <c r="G306" s="33">
        <v>865314.59999999986</v>
      </c>
      <c r="H306" s="33">
        <v>824331.19999999984</v>
      </c>
      <c r="I306" s="33">
        <v>824331.19999999984</v>
      </c>
    </row>
    <row r="307" spans="1:9" ht="37.5" x14ac:dyDescent="0.3">
      <c r="A307" s="31">
        <v>10</v>
      </c>
      <c r="B307" s="35" t="s">
        <v>289</v>
      </c>
      <c r="C307" s="31" t="s">
        <v>292</v>
      </c>
      <c r="D307" s="36">
        <v>11</v>
      </c>
      <c r="E307" s="36">
        <v>11</v>
      </c>
      <c r="F307" s="36">
        <v>11</v>
      </c>
      <c r="G307" s="33">
        <f>13431.2+7731.5</f>
        <v>21162.7</v>
      </c>
      <c r="H307" s="33">
        <f>6951+2705.3</f>
        <v>9656.2999999999993</v>
      </c>
      <c r="I307" s="33">
        <f>6951+2705.3</f>
        <v>9656.2999999999993</v>
      </c>
    </row>
    <row r="308" spans="1:9" ht="37.5" x14ac:dyDescent="0.3">
      <c r="A308" s="31">
        <v>11</v>
      </c>
      <c r="B308" s="35" t="s">
        <v>294</v>
      </c>
      <c r="C308" s="31" t="s">
        <v>292</v>
      </c>
      <c r="D308" s="36">
        <v>3</v>
      </c>
      <c r="E308" s="36">
        <v>2</v>
      </c>
      <c r="F308" s="36">
        <v>2</v>
      </c>
      <c r="G308" s="33">
        <f>3518.3+11815.5+26816.9+6700.3+17818.5-20394.3</f>
        <v>46275.199999999997</v>
      </c>
      <c r="H308" s="33">
        <f>1623.8+5366.9+4789.5+7403.6+14649.1+5037.5</f>
        <v>38870.400000000001</v>
      </c>
      <c r="I308" s="33">
        <f>1623.8+5366.9+4789.5+7403.6+14649.1+5037.5</f>
        <v>38870.400000000001</v>
      </c>
    </row>
    <row r="309" spans="1:9" x14ac:dyDescent="0.3">
      <c r="A309" s="80" t="s">
        <v>305</v>
      </c>
      <c r="B309" s="35"/>
      <c r="C309" s="2"/>
      <c r="D309" s="35"/>
      <c r="E309" s="2"/>
      <c r="F309" s="35"/>
      <c r="G309" s="79">
        <f>SUM(G311:G324)</f>
        <v>1835770.3</v>
      </c>
      <c r="H309" s="79">
        <f t="shared" ref="H309:I309" si="26">SUM(H311:H324)</f>
        <v>1683998.8</v>
      </c>
      <c r="I309" s="79">
        <f t="shared" si="26"/>
        <v>1685294.2000000002</v>
      </c>
    </row>
    <row r="310" spans="1:9" ht="18.75" customHeight="1" x14ac:dyDescent="0.3">
      <c r="A310" s="2" t="s">
        <v>283</v>
      </c>
      <c r="B310" s="35"/>
      <c r="C310" s="2"/>
      <c r="D310" s="35"/>
      <c r="E310" s="2"/>
      <c r="F310" s="35"/>
      <c r="G310" s="33"/>
      <c r="H310" s="33"/>
      <c r="I310" s="33"/>
    </row>
    <row r="311" spans="1:9" ht="75" x14ac:dyDescent="0.3">
      <c r="A311" s="31">
        <v>1</v>
      </c>
      <c r="B311" s="35" t="s">
        <v>284</v>
      </c>
      <c r="C311" s="31" t="s">
        <v>285</v>
      </c>
      <c r="D311" s="36">
        <v>6053</v>
      </c>
      <c r="E311" s="36">
        <v>6042</v>
      </c>
      <c r="F311" s="36">
        <v>6047</v>
      </c>
      <c r="G311" s="33">
        <v>815633.8</v>
      </c>
      <c r="H311" s="33">
        <v>703516.3</v>
      </c>
      <c r="I311" s="33">
        <v>703516.3</v>
      </c>
    </row>
    <row r="312" spans="1:9" ht="37.5" x14ac:dyDescent="0.3">
      <c r="A312" s="31">
        <v>2</v>
      </c>
      <c r="B312" s="35" t="s">
        <v>306</v>
      </c>
      <c r="C312" s="31" t="s">
        <v>307</v>
      </c>
      <c r="D312" s="36">
        <v>63305.1</v>
      </c>
      <c r="E312" s="36">
        <v>56199.1</v>
      </c>
      <c r="F312" s="36">
        <v>56199.1</v>
      </c>
      <c r="G312" s="33">
        <v>40915.5</v>
      </c>
      <c r="H312" s="33">
        <v>36322.6</v>
      </c>
      <c r="I312" s="33">
        <v>36322.6</v>
      </c>
    </row>
    <row r="313" spans="1:9" x14ac:dyDescent="0.3">
      <c r="A313" s="31">
        <v>3</v>
      </c>
      <c r="B313" s="35" t="s">
        <v>308</v>
      </c>
      <c r="C313" s="31" t="s">
        <v>309</v>
      </c>
      <c r="D313" s="36">
        <v>115</v>
      </c>
      <c r="E313" s="36">
        <v>115</v>
      </c>
      <c r="F313" s="36">
        <v>115</v>
      </c>
      <c r="G313" s="33">
        <v>12111.6</v>
      </c>
      <c r="H313" s="33">
        <v>12111.6</v>
      </c>
      <c r="I313" s="33">
        <v>12111.6</v>
      </c>
    </row>
    <row r="314" spans="1:9" ht="56.25" x14ac:dyDescent="0.3">
      <c r="A314" s="31">
        <v>4</v>
      </c>
      <c r="B314" s="35" t="s">
        <v>310</v>
      </c>
      <c r="C314" s="31" t="s">
        <v>311</v>
      </c>
      <c r="D314" s="36">
        <v>1</v>
      </c>
      <c r="E314" s="36">
        <v>1</v>
      </c>
      <c r="F314" s="36">
        <v>1</v>
      </c>
      <c r="G314" s="33">
        <v>500</v>
      </c>
      <c r="H314" s="33">
        <v>500</v>
      </c>
      <c r="I314" s="33">
        <v>500</v>
      </c>
    </row>
    <row r="315" spans="1:9" ht="37.5" x14ac:dyDescent="0.3">
      <c r="A315" s="31">
        <v>5</v>
      </c>
      <c r="B315" s="35" t="s">
        <v>293</v>
      </c>
      <c r="C315" s="31" t="s">
        <v>292</v>
      </c>
      <c r="D315" s="36">
        <v>1</v>
      </c>
      <c r="E315" s="36">
        <v>1</v>
      </c>
      <c r="F315" s="36">
        <v>1</v>
      </c>
      <c r="G315" s="33">
        <v>12657.2</v>
      </c>
      <c r="H315" s="33">
        <v>12657.2</v>
      </c>
      <c r="I315" s="33">
        <v>12657.2</v>
      </c>
    </row>
    <row r="316" spans="1:9" ht="37.5" x14ac:dyDescent="0.3">
      <c r="A316" s="31">
        <v>6</v>
      </c>
      <c r="B316" s="35" t="s">
        <v>295</v>
      </c>
      <c r="C316" s="31" t="s">
        <v>312</v>
      </c>
      <c r="D316" s="36">
        <v>692</v>
      </c>
      <c r="E316" s="36">
        <v>692</v>
      </c>
      <c r="F316" s="36">
        <v>692</v>
      </c>
      <c r="G316" s="33">
        <v>80616.399999999994</v>
      </c>
      <c r="H316" s="33">
        <v>80616.399999999994</v>
      </c>
      <c r="I316" s="33">
        <v>80616.399999999994</v>
      </c>
    </row>
    <row r="317" spans="1:9" x14ac:dyDescent="0.3">
      <c r="A317" s="31">
        <v>7</v>
      </c>
      <c r="B317" s="35" t="s">
        <v>313</v>
      </c>
      <c r="C317" s="31" t="s">
        <v>309</v>
      </c>
      <c r="D317" s="36">
        <v>154</v>
      </c>
      <c r="E317" s="36">
        <v>154</v>
      </c>
      <c r="F317" s="36">
        <v>154</v>
      </c>
      <c r="G317" s="33">
        <v>49492</v>
      </c>
      <c r="H317" s="33">
        <v>49492</v>
      </c>
      <c r="I317" s="33">
        <v>49492</v>
      </c>
    </row>
    <row r="318" spans="1:9" ht="37.5" x14ac:dyDescent="0.3">
      <c r="A318" s="31">
        <v>8</v>
      </c>
      <c r="B318" s="35" t="s">
        <v>289</v>
      </c>
      <c r="C318" s="31" t="s">
        <v>292</v>
      </c>
      <c r="D318" s="36">
        <v>11</v>
      </c>
      <c r="E318" s="36">
        <v>11</v>
      </c>
      <c r="F318" s="36">
        <v>11</v>
      </c>
      <c r="G318" s="33">
        <v>28.9</v>
      </c>
      <c r="H318" s="33">
        <v>28.9</v>
      </c>
      <c r="I318" s="33">
        <v>28.9</v>
      </c>
    </row>
    <row r="319" spans="1:9" ht="75" x14ac:dyDescent="0.3">
      <c r="A319" s="31">
        <v>9</v>
      </c>
      <c r="B319" s="35" t="s">
        <v>314</v>
      </c>
      <c r="C319" s="31" t="s">
        <v>309</v>
      </c>
      <c r="D319" s="36">
        <v>400</v>
      </c>
      <c r="E319" s="36">
        <v>408</v>
      </c>
      <c r="F319" s="36">
        <v>428</v>
      </c>
      <c r="G319" s="33">
        <v>117053.5</v>
      </c>
      <c r="H319" s="33">
        <v>120167.7</v>
      </c>
      <c r="I319" s="33">
        <v>120538.9</v>
      </c>
    </row>
    <row r="320" spans="1:9" ht="93.75" x14ac:dyDescent="0.3">
      <c r="A320" s="31">
        <v>10</v>
      </c>
      <c r="B320" s="35" t="s">
        <v>315</v>
      </c>
      <c r="C320" s="31" t="s">
        <v>309</v>
      </c>
      <c r="D320" s="36">
        <v>80</v>
      </c>
      <c r="E320" s="36">
        <v>80</v>
      </c>
      <c r="F320" s="36">
        <v>80</v>
      </c>
      <c r="G320" s="33">
        <v>11826.6</v>
      </c>
      <c r="H320" s="33">
        <v>11688.8</v>
      </c>
      <c r="I320" s="33">
        <v>11751.2</v>
      </c>
    </row>
    <row r="321" spans="1:9" ht="93.75" x14ac:dyDescent="0.3">
      <c r="A321" s="31">
        <v>11</v>
      </c>
      <c r="B321" s="35" t="s">
        <v>316</v>
      </c>
      <c r="C321" s="31" t="s">
        <v>309</v>
      </c>
      <c r="D321" s="36">
        <v>105</v>
      </c>
      <c r="E321" s="36">
        <v>105</v>
      </c>
      <c r="F321" s="36">
        <v>105</v>
      </c>
      <c r="G321" s="33">
        <v>60485.7</v>
      </c>
      <c r="H321" s="33">
        <v>62597</v>
      </c>
      <c r="I321" s="33">
        <v>62597</v>
      </c>
    </row>
    <row r="322" spans="1:9" x14ac:dyDescent="0.3">
      <c r="A322" s="31">
        <v>12</v>
      </c>
      <c r="B322" s="35" t="s">
        <v>317</v>
      </c>
      <c r="C322" s="31" t="s">
        <v>309</v>
      </c>
      <c r="D322" s="36">
        <v>70</v>
      </c>
      <c r="E322" s="36">
        <v>70</v>
      </c>
      <c r="F322" s="36">
        <v>70</v>
      </c>
      <c r="G322" s="33">
        <v>26937.8</v>
      </c>
      <c r="H322" s="33">
        <v>26841.3</v>
      </c>
      <c r="I322" s="33">
        <v>26841.3</v>
      </c>
    </row>
    <row r="323" spans="1:9" ht="37.5" x14ac:dyDescent="0.3">
      <c r="A323" s="31">
        <v>13</v>
      </c>
      <c r="B323" s="35" t="s">
        <v>294</v>
      </c>
      <c r="C323" s="31" t="s">
        <v>292</v>
      </c>
      <c r="D323" s="36">
        <v>4</v>
      </c>
      <c r="E323" s="36">
        <v>4</v>
      </c>
      <c r="F323" s="36">
        <v>4</v>
      </c>
      <c r="G323" s="33">
        <v>12657.2</v>
      </c>
      <c r="H323" s="33">
        <v>12657.2</v>
      </c>
      <c r="I323" s="33">
        <v>12657.2</v>
      </c>
    </row>
    <row r="324" spans="1:9" x14ac:dyDescent="0.3">
      <c r="A324" s="31">
        <v>14</v>
      </c>
      <c r="B324" s="35" t="s">
        <v>287</v>
      </c>
      <c r="C324" s="31" t="s">
        <v>288</v>
      </c>
      <c r="D324" s="36">
        <v>54</v>
      </c>
      <c r="E324" s="36">
        <v>54</v>
      </c>
      <c r="F324" s="36">
        <v>54</v>
      </c>
      <c r="G324" s="33">
        <f>561952.3+32901.8</f>
        <v>594854.10000000009</v>
      </c>
      <c r="H324" s="33">
        <f>549591.5+5210.3</f>
        <v>554801.80000000005</v>
      </c>
      <c r="I324" s="33">
        <f>550449.9+5213.7</f>
        <v>555663.6</v>
      </c>
    </row>
    <row r="325" spans="1:9" ht="17.25" customHeight="1" x14ac:dyDescent="0.3">
      <c r="A325" s="156" t="s">
        <v>17</v>
      </c>
      <c r="B325" s="157"/>
      <c r="C325" s="157"/>
      <c r="D325" s="157"/>
      <c r="E325" s="157"/>
      <c r="F325" s="158"/>
      <c r="G325" s="5">
        <f>G326+G329+G338</f>
        <v>753120.50000000012</v>
      </c>
      <c r="H325" s="5">
        <f t="shared" ref="H325:I325" si="27">H326+H329+H338</f>
        <v>543354.9</v>
      </c>
      <c r="I325" s="5">
        <f t="shared" si="27"/>
        <v>543354.9</v>
      </c>
    </row>
    <row r="326" spans="1:9" x14ac:dyDescent="0.3">
      <c r="A326" s="134" t="s">
        <v>86</v>
      </c>
      <c r="B326" s="135"/>
      <c r="C326" s="135"/>
      <c r="D326" s="135"/>
      <c r="E326" s="135"/>
      <c r="F326" s="136"/>
      <c r="G326" s="82">
        <f>G328</f>
        <v>1250</v>
      </c>
      <c r="H326" s="82">
        <f t="shared" ref="H326:I326" si="28">H328</f>
        <v>1250</v>
      </c>
      <c r="I326" s="82">
        <f t="shared" si="28"/>
        <v>1250</v>
      </c>
    </row>
    <row r="327" spans="1:9" x14ac:dyDescent="0.3">
      <c r="A327" s="131" t="s">
        <v>87</v>
      </c>
      <c r="B327" s="132"/>
      <c r="C327" s="132"/>
      <c r="D327" s="132"/>
      <c r="E327" s="132"/>
      <c r="F327" s="133"/>
      <c r="G327" s="6"/>
      <c r="H327" s="6"/>
      <c r="I327" s="6"/>
    </row>
    <row r="328" spans="1:9" ht="123" customHeight="1" x14ac:dyDescent="0.3">
      <c r="A328" s="31">
        <v>1</v>
      </c>
      <c r="B328" s="32" t="s">
        <v>88</v>
      </c>
      <c r="C328" s="31" t="s">
        <v>89</v>
      </c>
      <c r="D328" s="36">
        <v>1</v>
      </c>
      <c r="E328" s="36">
        <v>1</v>
      </c>
      <c r="F328" s="36">
        <v>1</v>
      </c>
      <c r="G328" s="33">
        <v>1250</v>
      </c>
      <c r="H328" s="33">
        <v>1250</v>
      </c>
      <c r="I328" s="33">
        <v>1250</v>
      </c>
    </row>
    <row r="329" spans="1:9" x14ac:dyDescent="0.3">
      <c r="A329" s="134" t="s">
        <v>90</v>
      </c>
      <c r="B329" s="135"/>
      <c r="C329" s="135"/>
      <c r="D329" s="135"/>
      <c r="E329" s="135"/>
      <c r="F329" s="136"/>
      <c r="G329" s="82">
        <f>SUM(G331:G337)</f>
        <v>615798.00000000012</v>
      </c>
      <c r="H329" s="82">
        <f t="shared" ref="H329:I329" si="29">SUM(H331:H337)</f>
        <v>455852.20000000007</v>
      </c>
      <c r="I329" s="82">
        <f t="shared" si="29"/>
        <v>455852.20000000007</v>
      </c>
    </row>
    <row r="330" spans="1:9" ht="18.75" customHeight="1" x14ac:dyDescent="0.3">
      <c r="A330" s="131" t="s">
        <v>87</v>
      </c>
      <c r="B330" s="132"/>
      <c r="C330" s="132"/>
      <c r="D330" s="132"/>
      <c r="E330" s="132"/>
      <c r="F330" s="133"/>
      <c r="G330" s="6"/>
      <c r="H330" s="6"/>
      <c r="I330" s="6"/>
    </row>
    <row r="331" spans="1:9" ht="56.25" x14ac:dyDescent="0.3">
      <c r="A331" s="31">
        <v>1</v>
      </c>
      <c r="B331" s="32" t="s">
        <v>91</v>
      </c>
      <c r="C331" s="31" t="s">
        <v>89</v>
      </c>
      <c r="D331" s="36">
        <v>11</v>
      </c>
      <c r="E331" s="36">
        <v>9</v>
      </c>
      <c r="F331" s="36">
        <v>9</v>
      </c>
      <c r="G331" s="33">
        <v>46036.1</v>
      </c>
      <c r="H331" s="33">
        <v>21361</v>
      </c>
      <c r="I331" s="33">
        <v>21361</v>
      </c>
    </row>
    <row r="332" spans="1:9" ht="42.75" customHeight="1" x14ac:dyDescent="0.3">
      <c r="A332" s="31">
        <v>2</v>
      </c>
      <c r="B332" s="32" t="s">
        <v>92</v>
      </c>
      <c r="C332" s="31" t="s">
        <v>89</v>
      </c>
      <c r="D332" s="36">
        <v>1</v>
      </c>
      <c r="E332" s="36">
        <v>1</v>
      </c>
      <c r="F332" s="36">
        <v>1</v>
      </c>
      <c r="G332" s="33">
        <v>16922.8</v>
      </c>
      <c r="H332" s="33">
        <v>16659.400000000001</v>
      </c>
      <c r="I332" s="33">
        <v>16659.400000000001</v>
      </c>
    </row>
    <row r="333" spans="1:9" ht="123.75" customHeight="1" x14ac:dyDescent="0.3">
      <c r="A333" s="31">
        <v>3</v>
      </c>
      <c r="B333" s="32" t="s">
        <v>93</v>
      </c>
      <c r="C333" s="31" t="s">
        <v>89</v>
      </c>
      <c r="D333" s="36">
        <v>81</v>
      </c>
      <c r="E333" s="36">
        <v>76</v>
      </c>
      <c r="F333" s="36">
        <v>76</v>
      </c>
      <c r="G333" s="33">
        <v>434775.5</v>
      </c>
      <c r="H333" s="33">
        <v>325905.09999999998</v>
      </c>
      <c r="I333" s="33">
        <v>325905.09999999998</v>
      </c>
    </row>
    <row r="334" spans="1:9" ht="40.5" customHeight="1" x14ac:dyDescent="0.3">
      <c r="A334" s="31">
        <v>4</v>
      </c>
      <c r="B334" s="32" t="s">
        <v>94</v>
      </c>
      <c r="C334" s="31" t="s">
        <v>89</v>
      </c>
      <c r="D334" s="36">
        <v>1</v>
      </c>
      <c r="E334" s="36">
        <v>1</v>
      </c>
      <c r="F334" s="36">
        <v>1</v>
      </c>
      <c r="G334" s="33">
        <v>40736</v>
      </c>
      <c r="H334" s="33">
        <v>40972.699999999997</v>
      </c>
      <c r="I334" s="33">
        <v>40972.699999999997</v>
      </c>
    </row>
    <row r="335" spans="1:9" ht="56.25" x14ac:dyDescent="0.3">
      <c r="A335" s="31">
        <v>5</v>
      </c>
      <c r="B335" s="32" t="s">
        <v>95</v>
      </c>
      <c r="C335" s="31" t="s">
        <v>96</v>
      </c>
      <c r="D335" s="36">
        <v>14</v>
      </c>
      <c r="E335" s="36">
        <v>14</v>
      </c>
      <c r="F335" s="36">
        <v>14</v>
      </c>
      <c r="G335" s="33">
        <v>6837.4</v>
      </c>
      <c r="H335" s="33">
        <v>6837.4</v>
      </c>
      <c r="I335" s="33">
        <v>6837.4</v>
      </c>
    </row>
    <row r="336" spans="1:9" ht="37.5" x14ac:dyDescent="0.3">
      <c r="A336" s="31">
        <v>6</v>
      </c>
      <c r="B336" s="32" t="s">
        <v>97</v>
      </c>
      <c r="C336" s="31" t="s">
        <v>89</v>
      </c>
      <c r="D336" s="36">
        <v>9</v>
      </c>
      <c r="E336" s="36">
        <v>9</v>
      </c>
      <c r="F336" s="36">
        <v>9</v>
      </c>
      <c r="G336" s="33">
        <v>9845.4</v>
      </c>
      <c r="H336" s="33">
        <v>9810.4</v>
      </c>
      <c r="I336" s="33">
        <v>9810.4</v>
      </c>
    </row>
    <row r="337" spans="1:9" ht="102.75" customHeight="1" x14ac:dyDescent="0.3">
      <c r="A337" s="31">
        <v>7</v>
      </c>
      <c r="B337" s="32" t="s">
        <v>98</v>
      </c>
      <c r="C337" s="31" t="s">
        <v>89</v>
      </c>
      <c r="D337" s="36">
        <v>28</v>
      </c>
      <c r="E337" s="36">
        <v>26</v>
      </c>
      <c r="F337" s="36">
        <v>26</v>
      </c>
      <c r="G337" s="33">
        <v>60644.800000000003</v>
      </c>
      <c r="H337" s="33">
        <v>34306.199999999997</v>
      </c>
      <c r="I337" s="33">
        <v>34306.199999999997</v>
      </c>
    </row>
    <row r="338" spans="1:9" x14ac:dyDescent="0.3">
      <c r="A338" s="187" t="s">
        <v>99</v>
      </c>
      <c r="B338" s="188"/>
      <c r="C338" s="188"/>
      <c r="D338" s="188"/>
      <c r="E338" s="188"/>
      <c r="F338" s="189"/>
      <c r="G338" s="82">
        <f>SUM(G340:G346)</f>
        <v>136072.5</v>
      </c>
      <c r="H338" s="82">
        <f t="shared" ref="H338:I338" si="30">SUM(H340:H346)</f>
        <v>86252.7</v>
      </c>
      <c r="I338" s="82">
        <f t="shared" si="30"/>
        <v>86252.7</v>
      </c>
    </row>
    <row r="339" spans="1:9" x14ac:dyDescent="0.3">
      <c r="A339" s="131" t="s">
        <v>87</v>
      </c>
      <c r="B339" s="132"/>
      <c r="C339" s="132"/>
      <c r="D339" s="132"/>
      <c r="E339" s="132"/>
      <c r="F339" s="133"/>
      <c r="G339" s="6"/>
      <c r="H339" s="6"/>
      <c r="I339" s="6"/>
    </row>
    <row r="340" spans="1:9" ht="48.75" customHeight="1" x14ac:dyDescent="0.3">
      <c r="A340" s="31">
        <v>1</v>
      </c>
      <c r="B340" s="32" t="s">
        <v>100</v>
      </c>
      <c r="C340" s="31" t="s">
        <v>89</v>
      </c>
      <c r="D340" s="36">
        <v>1</v>
      </c>
      <c r="E340" s="36">
        <v>1</v>
      </c>
      <c r="F340" s="36">
        <v>1</v>
      </c>
      <c r="G340" s="33">
        <v>19176.900000000001</v>
      </c>
      <c r="H340" s="33">
        <v>19176.900000000001</v>
      </c>
      <c r="I340" s="33">
        <v>19176.900000000001</v>
      </c>
    </row>
    <row r="341" spans="1:9" ht="103.5" customHeight="1" x14ac:dyDescent="0.3">
      <c r="A341" s="31">
        <v>2</v>
      </c>
      <c r="B341" s="32" t="s">
        <v>101</v>
      </c>
      <c r="C341" s="31" t="s">
        <v>89</v>
      </c>
      <c r="D341" s="36">
        <v>41</v>
      </c>
      <c r="E341" s="36">
        <v>41</v>
      </c>
      <c r="F341" s="36">
        <v>41</v>
      </c>
      <c r="G341" s="33">
        <v>44812.1</v>
      </c>
      <c r="H341" s="33">
        <v>44321.4</v>
      </c>
      <c r="I341" s="33">
        <v>44321.4</v>
      </c>
    </row>
    <row r="342" spans="1:9" ht="42" customHeight="1" x14ac:dyDescent="0.3">
      <c r="A342" s="31">
        <v>3</v>
      </c>
      <c r="B342" s="32" t="s">
        <v>94</v>
      </c>
      <c r="C342" s="31" t="s">
        <v>89</v>
      </c>
      <c r="D342" s="36">
        <v>1</v>
      </c>
      <c r="E342" s="36"/>
      <c r="F342" s="36"/>
      <c r="G342" s="33">
        <v>32760.9</v>
      </c>
      <c r="H342" s="33"/>
      <c r="I342" s="33"/>
    </row>
    <row r="343" spans="1:9" ht="116.25" customHeight="1" x14ac:dyDescent="0.3">
      <c r="A343" s="31">
        <v>4</v>
      </c>
      <c r="B343" s="32" t="s">
        <v>93</v>
      </c>
      <c r="C343" s="31" t="s">
        <v>89</v>
      </c>
      <c r="D343" s="36">
        <v>1</v>
      </c>
      <c r="E343" s="36">
        <v>1</v>
      </c>
      <c r="F343" s="36">
        <v>1</v>
      </c>
      <c r="G343" s="33">
        <v>12130.9</v>
      </c>
      <c r="H343" s="33">
        <v>12130.9</v>
      </c>
      <c r="I343" s="33">
        <v>12130.9</v>
      </c>
    </row>
    <row r="344" spans="1:9" ht="37.5" x14ac:dyDescent="0.3">
      <c r="A344" s="31">
        <v>5</v>
      </c>
      <c r="B344" s="32" t="s">
        <v>97</v>
      </c>
      <c r="C344" s="31" t="s">
        <v>89</v>
      </c>
      <c r="D344" s="36">
        <v>6</v>
      </c>
      <c r="E344" s="36">
        <v>6</v>
      </c>
      <c r="F344" s="36">
        <v>6</v>
      </c>
      <c r="G344" s="33">
        <v>9976.5</v>
      </c>
      <c r="H344" s="33">
        <v>4962.8999999999996</v>
      </c>
      <c r="I344" s="33">
        <v>4962.8999999999996</v>
      </c>
    </row>
    <row r="345" spans="1:9" ht="60.75" customHeight="1" x14ac:dyDescent="0.3">
      <c r="A345" s="31">
        <v>6</v>
      </c>
      <c r="B345" s="32" t="s">
        <v>102</v>
      </c>
      <c r="C345" s="31" t="s">
        <v>103</v>
      </c>
      <c r="D345" s="36">
        <v>12</v>
      </c>
      <c r="E345" s="36"/>
      <c r="F345" s="36"/>
      <c r="G345" s="33">
        <v>10845</v>
      </c>
      <c r="H345" s="33"/>
      <c r="I345" s="33"/>
    </row>
    <row r="346" spans="1:9" ht="42" customHeight="1" x14ac:dyDescent="0.3">
      <c r="A346" s="31">
        <v>7</v>
      </c>
      <c r="B346" s="32" t="s">
        <v>104</v>
      </c>
      <c r="C346" s="31" t="s">
        <v>105</v>
      </c>
      <c r="D346" s="36">
        <v>10</v>
      </c>
      <c r="E346" s="36">
        <v>10</v>
      </c>
      <c r="F346" s="36">
        <v>10</v>
      </c>
      <c r="G346" s="33">
        <v>6370.2</v>
      </c>
      <c r="H346" s="33">
        <v>5660.6</v>
      </c>
      <c r="I346" s="33">
        <v>5660.6</v>
      </c>
    </row>
    <row r="347" spans="1:9" ht="21" customHeight="1" x14ac:dyDescent="0.3">
      <c r="A347" s="156" t="s">
        <v>18</v>
      </c>
      <c r="B347" s="157"/>
      <c r="C347" s="157"/>
      <c r="D347" s="157"/>
      <c r="E347" s="157"/>
      <c r="F347" s="158"/>
      <c r="G347" s="28">
        <f>SUM(G350:G360)+788.8</f>
        <v>97763.1</v>
      </c>
      <c r="H347" s="28">
        <f t="shared" ref="H347:I347" si="31">SUM(H350:H360)+788.8</f>
        <v>97763.1</v>
      </c>
      <c r="I347" s="28">
        <f t="shared" si="31"/>
        <v>97763.1</v>
      </c>
    </row>
    <row r="348" spans="1:9" ht="41.25" customHeight="1" x14ac:dyDescent="0.3">
      <c r="A348" s="150" t="s">
        <v>318</v>
      </c>
      <c r="B348" s="151"/>
      <c r="C348" s="151"/>
      <c r="D348" s="151"/>
      <c r="E348" s="151"/>
      <c r="F348" s="152"/>
      <c r="G348" s="63">
        <v>97763.1</v>
      </c>
      <c r="H348" s="63">
        <v>97763.1</v>
      </c>
      <c r="I348" s="63">
        <v>97763.1</v>
      </c>
    </row>
    <row r="349" spans="1:9" x14ac:dyDescent="0.3">
      <c r="A349" s="2" t="s">
        <v>319</v>
      </c>
      <c r="B349" s="2"/>
      <c r="C349" s="2"/>
      <c r="D349" s="2"/>
      <c r="E349" s="2"/>
      <c r="F349" s="2"/>
      <c r="G349" s="6"/>
      <c r="H349" s="6"/>
      <c r="I349" s="6"/>
    </row>
    <row r="350" spans="1:9" ht="260.25" customHeight="1" x14ac:dyDescent="0.3">
      <c r="A350" s="147">
        <v>1</v>
      </c>
      <c r="B350" s="190" t="s">
        <v>320</v>
      </c>
      <c r="C350" s="59" t="s">
        <v>321</v>
      </c>
      <c r="D350" s="36">
        <v>160</v>
      </c>
      <c r="E350" s="36">
        <v>160</v>
      </c>
      <c r="F350" s="36">
        <v>160</v>
      </c>
      <c r="G350" s="146">
        <v>34157.300000000003</v>
      </c>
      <c r="H350" s="146">
        <v>34157.300000000003</v>
      </c>
      <c r="I350" s="146">
        <v>34157.300000000003</v>
      </c>
    </row>
    <row r="351" spans="1:9" ht="213" customHeight="1" x14ac:dyDescent="0.3">
      <c r="A351" s="148"/>
      <c r="B351" s="191"/>
      <c r="C351" s="59" t="s">
        <v>322</v>
      </c>
      <c r="D351" s="36">
        <v>16</v>
      </c>
      <c r="E351" s="36">
        <v>16</v>
      </c>
      <c r="F351" s="36">
        <v>16</v>
      </c>
      <c r="G351" s="146"/>
      <c r="H351" s="146"/>
      <c r="I351" s="146"/>
    </row>
    <row r="352" spans="1:9" ht="243.75" customHeight="1" x14ac:dyDescent="0.3">
      <c r="A352" s="148"/>
      <c r="B352" s="191"/>
      <c r="C352" s="59" t="s">
        <v>323</v>
      </c>
      <c r="D352" s="36">
        <v>40</v>
      </c>
      <c r="E352" s="36">
        <v>40</v>
      </c>
      <c r="F352" s="36">
        <v>40</v>
      </c>
      <c r="G352" s="146"/>
      <c r="H352" s="146"/>
      <c r="I352" s="146"/>
    </row>
    <row r="353" spans="1:9" ht="233.25" customHeight="1" x14ac:dyDescent="0.3">
      <c r="A353" s="149"/>
      <c r="B353" s="192"/>
      <c r="C353" s="59" t="s">
        <v>324</v>
      </c>
      <c r="D353" s="36">
        <v>130</v>
      </c>
      <c r="E353" s="36">
        <v>130</v>
      </c>
      <c r="F353" s="36">
        <v>130</v>
      </c>
      <c r="G353" s="146"/>
      <c r="H353" s="146"/>
      <c r="I353" s="146"/>
    </row>
    <row r="354" spans="1:9" ht="131.25" x14ac:dyDescent="0.3">
      <c r="A354" s="31">
        <v>2</v>
      </c>
      <c r="B354" s="32" t="s">
        <v>325</v>
      </c>
      <c r="C354" s="31" t="s">
        <v>326</v>
      </c>
      <c r="D354" s="36">
        <v>10</v>
      </c>
      <c r="E354" s="36">
        <v>10</v>
      </c>
      <c r="F354" s="36">
        <v>10</v>
      </c>
      <c r="G354" s="33">
        <v>19788.599999999999</v>
      </c>
      <c r="H354" s="33">
        <v>19788.599999999999</v>
      </c>
      <c r="I354" s="33">
        <v>19788.599999999999</v>
      </c>
    </row>
    <row r="355" spans="1:9" ht="93.75" x14ac:dyDescent="0.3">
      <c r="A355" s="31">
        <v>3</v>
      </c>
      <c r="B355" s="32" t="s">
        <v>325</v>
      </c>
      <c r="C355" s="31" t="s">
        <v>327</v>
      </c>
      <c r="D355" s="36" t="s">
        <v>328</v>
      </c>
      <c r="E355" s="36" t="s">
        <v>328</v>
      </c>
      <c r="F355" s="36" t="s">
        <v>328</v>
      </c>
      <c r="G355" s="33">
        <v>2799</v>
      </c>
      <c r="H355" s="33">
        <v>2799</v>
      </c>
      <c r="I355" s="33">
        <v>2799</v>
      </c>
    </row>
    <row r="356" spans="1:9" ht="93.75" x14ac:dyDescent="0.3">
      <c r="A356" s="31">
        <v>4</v>
      </c>
      <c r="B356" s="32" t="s">
        <v>325</v>
      </c>
      <c r="C356" s="31" t="s">
        <v>329</v>
      </c>
      <c r="D356" s="36" t="s">
        <v>328</v>
      </c>
      <c r="E356" s="36" t="s">
        <v>328</v>
      </c>
      <c r="F356" s="36" t="s">
        <v>328</v>
      </c>
      <c r="G356" s="33">
        <v>2799</v>
      </c>
      <c r="H356" s="33">
        <v>2799</v>
      </c>
      <c r="I356" s="33">
        <v>2799</v>
      </c>
    </row>
    <row r="357" spans="1:9" ht="119.25" customHeight="1" x14ac:dyDescent="0.3">
      <c r="A357" s="31">
        <v>5</v>
      </c>
      <c r="B357" s="32" t="s">
        <v>325</v>
      </c>
      <c r="C357" s="31" t="s">
        <v>330</v>
      </c>
      <c r="D357" s="36" t="s">
        <v>331</v>
      </c>
      <c r="E357" s="36" t="s">
        <v>331</v>
      </c>
      <c r="F357" s="36" t="s">
        <v>331</v>
      </c>
      <c r="G357" s="33">
        <v>7563.7</v>
      </c>
      <c r="H357" s="33">
        <v>7563.7</v>
      </c>
      <c r="I357" s="33">
        <v>7563.7</v>
      </c>
    </row>
    <row r="358" spans="1:9" x14ac:dyDescent="0.3">
      <c r="A358" s="2" t="s">
        <v>253</v>
      </c>
      <c r="B358" s="2"/>
      <c r="C358" s="2"/>
      <c r="D358" s="2"/>
      <c r="E358" s="2"/>
      <c r="F358" s="2"/>
      <c r="G358" s="6"/>
      <c r="H358" s="6"/>
      <c r="I358" s="6"/>
    </row>
    <row r="359" spans="1:9" ht="93.75" x14ac:dyDescent="0.3">
      <c r="A359" s="31">
        <v>1</v>
      </c>
      <c r="B359" s="32" t="s">
        <v>335</v>
      </c>
      <c r="C359" s="31" t="s">
        <v>332</v>
      </c>
      <c r="D359" s="36">
        <v>12</v>
      </c>
      <c r="E359" s="36">
        <v>12</v>
      </c>
      <c r="F359" s="36">
        <v>12</v>
      </c>
      <c r="G359" s="33">
        <v>3316.7</v>
      </c>
      <c r="H359" s="33">
        <v>3316.7</v>
      </c>
      <c r="I359" s="33">
        <v>3316.7</v>
      </c>
    </row>
    <row r="360" spans="1:9" ht="122.25" customHeight="1" x14ac:dyDescent="0.3">
      <c r="A360" s="31">
        <v>2</v>
      </c>
      <c r="B360" s="32" t="s">
        <v>334</v>
      </c>
      <c r="C360" s="31" t="s">
        <v>333</v>
      </c>
      <c r="D360" s="36">
        <v>860</v>
      </c>
      <c r="E360" s="36">
        <v>860</v>
      </c>
      <c r="F360" s="36">
        <v>860</v>
      </c>
      <c r="G360" s="33">
        <v>26550</v>
      </c>
      <c r="H360" s="33">
        <v>26550</v>
      </c>
      <c r="I360" s="33">
        <v>26550</v>
      </c>
    </row>
    <row r="361" spans="1:9" x14ac:dyDescent="0.3">
      <c r="A361" s="156" t="s">
        <v>19</v>
      </c>
      <c r="B361" s="157"/>
      <c r="C361" s="157"/>
      <c r="D361" s="157"/>
      <c r="E361" s="157"/>
      <c r="F361" s="158"/>
      <c r="G361" s="38">
        <f>G362</f>
        <v>156390.80000000002</v>
      </c>
      <c r="H361" s="38">
        <f t="shared" ref="H361:I361" si="32">H362</f>
        <v>156390.80000000002</v>
      </c>
      <c r="I361" s="38">
        <f t="shared" si="32"/>
        <v>156390.80000000002</v>
      </c>
    </row>
    <row r="362" spans="1:9" ht="36" customHeight="1" x14ac:dyDescent="0.3">
      <c r="A362" s="206" t="s">
        <v>252</v>
      </c>
      <c r="B362" s="207"/>
      <c r="C362" s="207"/>
      <c r="D362" s="207"/>
      <c r="E362" s="207"/>
      <c r="F362" s="208"/>
      <c r="G362" s="82">
        <f>SUM(G364:G381)</f>
        <v>156390.80000000002</v>
      </c>
      <c r="H362" s="82">
        <f t="shared" ref="H362:I362" si="33">SUM(H364:H381)</f>
        <v>156390.80000000002</v>
      </c>
      <c r="I362" s="82">
        <f t="shared" si="33"/>
        <v>156390.80000000002</v>
      </c>
    </row>
    <row r="363" spans="1:9" x14ac:dyDescent="0.3">
      <c r="A363" s="2" t="s">
        <v>253</v>
      </c>
      <c r="B363" s="2"/>
      <c r="C363" s="2"/>
      <c r="D363" s="2"/>
      <c r="E363" s="2"/>
      <c r="F363" s="2"/>
      <c r="G363" s="6"/>
      <c r="H363" s="6"/>
      <c r="I363" s="6"/>
    </row>
    <row r="364" spans="1:9" ht="56.25" x14ac:dyDescent="0.3">
      <c r="A364" s="12">
        <v>1</v>
      </c>
      <c r="B364" s="32" t="s">
        <v>267</v>
      </c>
      <c r="C364" s="31" t="s">
        <v>268</v>
      </c>
      <c r="D364" s="4">
        <v>3310020</v>
      </c>
      <c r="E364" s="4">
        <v>3563350</v>
      </c>
      <c r="F364" s="4">
        <v>2163350</v>
      </c>
      <c r="G364" s="33">
        <v>69798.899999999994</v>
      </c>
      <c r="H364" s="33">
        <v>75141.3</v>
      </c>
      <c r="I364" s="33">
        <v>45615.3</v>
      </c>
    </row>
    <row r="365" spans="1:9" ht="93.75" x14ac:dyDescent="0.3">
      <c r="A365" s="31">
        <v>2</v>
      </c>
      <c r="B365" s="32" t="s">
        <v>266</v>
      </c>
      <c r="C365" s="31" t="s">
        <v>269</v>
      </c>
      <c r="D365" s="4"/>
      <c r="E365" s="4"/>
      <c r="F365" s="4">
        <v>1400000</v>
      </c>
      <c r="G365" s="33"/>
      <c r="H365" s="33"/>
      <c r="I365" s="33">
        <v>29526</v>
      </c>
    </row>
    <row r="366" spans="1:9" ht="112.5" x14ac:dyDescent="0.3">
      <c r="A366" s="31">
        <v>3</v>
      </c>
      <c r="B366" s="32" t="s">
        <v>270</v>
      </c>
      <c r="C366" s="31" t="s">
        <v>271</v>
      </c>
      <c r="D366" s="4">
        <v>90000</v>
      </c>
      <c r="E366" s="4">
        <v>30000</v>
      </c>
      <c r="F366" s="4">
        <v>30000</v>
      </c>
      <c r="G366" s="33">
        <v>8013.6</v>
      </c>
      <c r="H366" s="33">
        <v>2671.2</v>
      </c>
      <c r="I366" s="33">
        <v>2671.2</v>
      </c>
    </row>
    <row r="367" spans="1:9" ht="56.25" x14ac:dyDescent="0.3">
      <c r="A367" s="31">
        <v>4</v>
      </c>
      <c r="B367" s="32" t="s">
        <v>254</v>
      </c>
      <c r="C367" s="31" t="s">
        <v>272</v>
      </c>
      <c r="D367" s="4">
        <v>200</v>
      </c>
      <c r="E367" s="4">
        <v>200</v>
      </c>
      <c r="F367" s="4">
        <v>200</v>
      </c>
      <c r="G367" s="33">
        <v>3592.1</v>
      </c>
      <c r="H367" s="33">
        <v>3592.1</v>
      </c>
      <c r="I367" s="33">
        <v>3592.1</v>
      </c>
    </row>
    <row r="368" spans="1:9" ht="75" x14ac:dyDescent="0.3">
      <c r="A368" s="31">
        <v>5</v>
      </c>
      <c r="B368" s="32" t="s">
        <v>273</v>
      </c>
      <c r="C368" s="31" t="s">
        <v>274</v>
      </c>
      <c r="D368" s="4">
        <v>105</v>
      </c>
      <c r="E368" s="4">
        <v>105</v>
      </c>
      <c r="F368" s="4">
        <v>105</v>
      </c>
      <c r="G368" s="33">
        <v>334.6</v>
      </c>
      <c r="H368" s="33">
        <v>334.6</v>
      </c>
      <c r="I368" s="33">
        <v>334.6</v>
      </c>
    </row>
    <row r="369" spans="1:9" ht="75" x14ac:dyDescent="0.3">
      <c r="A369" s="31">
        <v>6</v>
      </c>
      <c r="B369" s="32" t="s">
        <v>275</v>
      </c>
      <c r="C369" s="31" t="s">
        <v>274</v>
      </c>
      <c r="D369" s="4">
        <v>250</v>
      </c>
      <c r="E369" s="4">
        <v>250</v>
      </c>
      <c r="F369" s="4">
        <v>250</v>
      </c>
      <c r="G369" s="33">
        <v>796.6</v>
      </c>
      <c r="H369" s="33">
        <v>796.6</v>
      </c>
      <c r="I369" s="33">
        <v>796.6</v>
      </c>
    </row>
    <row r="370" spans="1:9" ht="56.25" x14ac:dyDescent="0.3">
      <c r="A370" s="31">
        <v>7</v>
      </c>
      <c r="B370" s="32" t="s">
        <v>255</v>
      </c>
      <c r="C370" s="31" t="s">
        <v>276</v>
      </c>
      <c r="D370" s="4">
        <v>60</v>
      </c>
      <c r="E370" s="4">
        <v>60</v>
      </c>
      <c r="F370" s="4">
        <v>60</v>
      </c>
      <c r="G370" s="33">
        <v>191.2</v>
      </c>
      <c r="H370" s="33">
        <v>191.2</v>
      </c>
      <c r="I370" s="33">
        <v>191.2</v>
      </c>
    </row>
    <row r="371" spans="1:9" ht="56.25" x14ac:dyDescent="0.3">
      <c r="A371" s="31">
        <v>8</v>
      </c>
      <c r="B371" s="32" t="s">
        <v>277</v>
      </c>
      <c r="C371" s="31" t="s">
        <v>276</v>
      </c>
      <c r="D371" s="4">
        <v>60</v>
      </c>
      <c r="E371" s="4">
        <v>60</v>
      </c>
      <c r="F371" s="4">
        <v>60</v>
      </c>
      <c r="G371" s="33">
        <v>191.2</v>
      </c>
      <c r="H371" s="33">
        <v>191.2</v>
      </c>
      <c r="I371" s="33">
        <v>191.2</v>
      </c>
    </row>
    <row r="372" spans="1:9" ht="112.5" x14ac:dyDescent="0.3">
      <c r="A372" s="31">
        <v>9</v>
      </c>
      <c r="B372" s="32" t="s">
        <v>256</v>
      </c>
      <c r="C372" s="31" t="s">
        <v>278</v>
      </c>
      <c r="D372" s="4">
        <v>25</v>
      </c>
      <c r="E372" s="4">
        <v>25</v>
      </c>
      <c r="F372" s="4">
        <v>25</v>
      </c>
      <c r="G372" s="33">
        <v>241.6</v>
      </c>
      <c r="H372" s="33">
        <v>241.6</v>
      </c>
      <c r="I372" s="33">
        <v>241.6</v>
      </c>
    </row>
    <row r="373" spans="1:9" ht="112.5" x14ac:dyDescent="0.3">
      <c r="A373" s="31">
        <v>10</v>
      </c>
      <c r="B373" s="32" t="s">
        <v>279</v>
      </c>
      <c r="C373" s="31" t="s">
        <v>278</v>
      </c>
      <c r="D373" s="4">
        <v>25</v>
      </c>
      <c r="E373" s="4">
        <v>25</v>
      </c>
      <c r="F373" s="4">
        <v>25</v>
      </c>
      <c r="G373" s="33">
        <v>241.6</v>
      </c>
      <c r="H373" s="33">
        <v>241.6</v>
      </c>
      <c r="I373" s="33">
        <v>241.6</v>
      </c>
    </row>
    <row r="374" spans="1:9" ht="56.25" x14ac:dyDescent="0.3">
      <c r="A374" s="31">
        <v>11</v>
      </c>
      <c r="B374" s="32" t="s">
        <v>257</v>
      </c>
      <c r="C374" s="31" t="s">
        <v>276</v>
      </c>
      <c r="D374" s="4">
        <v>10</v>
      </c>
      <c r="E374" s="4">
        <v>10</v>
      </c>
      <c r="F374" s="4">
        <v>10</v>
      </c>
      <c r="G374" s="33">
        <v>96.7</v>
      </c>
      <c r="H374" s="33">
        <v>96.7</v>
      </c>
      <c r="I374" s="33">
        <v>96.7</v>
      </c>
    </row>
    <row r="375" spans="1:9" ht="56.25" x14ac:dyDescent="0.3">
      <c r="A375" s="31">
        <v>12</v>
      </c>
      <c r="B375" s="32" t="s">
        <v>258</v>
      </c>
      <c r="C375" s="31" t="s">
        <v>276</v>
      </c>
      <c r="D375" s="4">
        <v>20</v>
      </c>
      <c r="E375" s="4">
        <v>20</v>
      </c>
      <c r="F375" s="4">
        <v>20</v>
      </c>
      <c r="G375" s="33">
        <v>193.3</v>
      </c>
      <c r="H375" s="33">
        <v>193.3</v>
      </c>
      <c r="I375" s="33">
        <v>193.3</v>
      </c>
    </row>
    <row r="376" spans="1:9" ht="93.75" x14ac:dyDescent="0.3">
      <c r="A376" s="31">
        <v>13</v>
      </c>
      <c r="B376" s="32" t="s">
        <v>259</v>
      </c>
      <c r="C376" s="31" t="s">
        <v>280</v>
      </c>
      <c r="D376" s="4">
        <v>175</v>
      </c>
      <c r="E376" s="4">
        <v>175</v>
      </c>
      <c r="F376" s="4">
        <v>175</v>
      </c>
      <c r="G376" s="33">
        <v>4223.3</v>
      </c>
      <c r="H376" s="33">
        <v>4223.3</v>
      </c>
      <c r="I376" s="33">
        <v>4223.3</v>
      </c>
    </row>
    <row r="377" spans="1:9" ht="93.75" x14ac:dyDescent="0.3">
      <c r="A377" s="31">
        <v>14</v>
      </c>
      <c r="B377" s="32" t="s">
        <v>281</v>
      </c>
      <c r="C377" s="31" t="s">
        <v>280</v>
      </c>
      <c r="D377" s="4">
        <v>175</v>
      </c>
      <c r="E377" s="4">
        <v>175</v>
      </c>
      <c r="F377" s="4">
        <v>175</v>
      </c>
      <c r="G377" s="33">
        <v>4223.3</v>
      </c>
      <c r="H377" s="33">
        <v>4223.3</v>
      </c>
      <c r="I377" s="33">
        <v>4223.3</v>
      </c>
    </row>
    <row r="378" spans="1:9" ht="56.25" x14ac:dyDescent="0.3">
      <c r="A378" s="31">
        <v>15</v>
      </c>
      <c r="B378" s="32" t="s">
        <v>260</v>
      </c>
      <c r="C378" s="31" t="s">
        <v>261</v>
      </c>
      <c r="D378" s="4">
        <v>200</v>
      </c>
      <c r="E378" s="4">
        <v>200</v>
      </c>
      <c r="F378" s="4">
        <v>200</v>
      </c>
      <c r="G378" s="33">
        <v>18958.8</v>
      </c>
      <c r="H378" s="33">
        <v>18958.8</v>
      </c>
      <c r="I378" s="33">
        <v>18958.8</v>
      </c>
    </row>
    <row r="379" spans="1:9" ht="56.25" x14ac:dyDescent="0.3">
      <c r="A379" s="31">
        <v>16</v>
      </c>
      <c r="B379" s="32" t="s">
        <v>262</v>
      </c>
      <c r="C379" s="31" t="s">
        <v>263</v>
      </c>
      <c r="D379" s="4">
        <v>42</v>
      </c>
      <c r="E379" s="4">
        <v>42</v>
      </c>
      <c r="F379" s="4">
        <v>42</v>
      </c>
      <c r="G379" s="33">
        <v>12088</v>
      </c>
      <c r="H379" s="33">
        <v>12088</v>
      </c>
      <c r="I379" s="33">
        <v>12088</v>
      </c>
    </row>
    <row r="380" spans="1:9" ht="56.25" x14ac:dyDescent="0.3">
      <c r="A380" s="31">
        <v>17</v>
      </c>
      <c r="B380" s="32" t="s">
        <v>264</v>
      </c>
      <c r="C380" s="31" t="s">
        <v>265</v>
      </c>
      <c r="D380" s="4">
        <v>6000</v>
      </c>
      <c r="E380" s="4">
        <v>6000</v>
      </c>
      <c r="F380" s="4">
        <v>6000</v>
      </c>
      <c r="G380" s="33">
        <v>19506.7</v>
      </c>
      <c r="H380" s="33">
        <v>19506.7</v>
      </c>
      <c r="I380" s="33">
        <v>19506.7</v>
      </c>
    </row>
    <row r="381" spans="1:9" ht="37.5" x14ac:dyDescent="0.3">
      <c r="A381" s="31">
        <v>18</v>
      </c>
      <c r="B381" s="32" t="s">
        <v>107</v>
      </c>
      <c r="C381" s="31" t="s">
        <v>108</v>
      </c>
      <c r="D381" s="4">
        <v>24000</v>
      </c>
      <c r="E381" s="4">
        <v>24000</v>
      </c>
      <c r="F381" s="4">
        <v>24000</v>
      </c>
      <c r="G381" s="33">
        <v>13699.3</v>
      </c>
      <c r="H381" s="33">
        <v>13699.3</v>
      </c>
      <c r="I381" s="33">
        <v>13699.3</v>
      </c>
    </row>
    <row r="382" spans="1:9" x14ac:dyDescent="0.3">
      <c r="A382" s="156" t="s">
        <v>20</v>
      </c>
      <c r="B382" s="157"/>
      <c r="C382" s="157"/>
      <c r="D382" s="157"/>
      <c r="E382" s="157"/>
      <c r="F382" s="158"/>
      <c r="G382" s="38">
        <f>G383</f>
        <v>19976.900000000001</v>
      </c>
      <c r="H382" s="7"/>
      <c r="I382" s="7"/>
    </row>
    <row r="383" spans="1:9" x14ac:dyDescent="0.3">
      <c r="A383" s="187" t="s">
        <v>38</v>
      </c>
      <c r="B383" s="188"/>
      <c r="C383" s="188"/>
      <c r="D383" s="188"/>
      <c r="E383" s="188"/>
      <c r="F383" s="189"/>
      <c r="G383" s="82">
        <f>SUM(G385:G388)</f>
        <v>19976.900000000001</v>
      </c>
      <c r="H383" s="82"/>
      <c r="I383" s="82"/>
    </row>
    <row r="384" spans="1:9" x14ac:dyDescent="0.3">
      <c r="A384" s="131" t="s">
        <v>111</v>
      </c>
      <c r="B384" s="132"/>
      <c r="C384" s="132"/>
      <c r="D384" s="2"/>
      <c r="E384" s="30"/>
      <c r="F384" s="2"/>
      <c r="G384" s="6"/>
      <c r="H384" s="6"/>
      <c r="I384" s="6"/>
    </row>
    <row r="385" spans="1:9" ht="80.25" customHeight="1" x14ac:dyDescent="0.3">
      <c r="A385" s="172">
        <v>1</v>
      </c>
      <c r="B385" s="142" t="s">
        <v>112</v>
      </c>
      <c r="C385" s="86" t="s">
        <v>113</v>
      </c>
      <c r="D385" s="36">
        <v>7466</v>
      </c>
      <c r="E385" s="36"/>
      <c r="F385" s="36"/>
      <c r="G385" s="50">
        <v>1494.5</v>
      </c>
      <c r="H385" s="6"/>
      <c r="I385" s="6"/>
    </row>
    <row r="386" spans="1:9" ht="78" customHeight="1" x14ac:dyDescent="0.3">
      <c r="A386" s="173"/>
      <c r="B386" s="171"/>
      <c r="C386" s="86" t="s">
        <v>114</v>
      </c>
      <c r="D386" s="36">
        <v>19520</v>
      </c>
      <c r="E386" s="36"/>
      <c r="F386" s="36"/>
      <c r="G386" s="50">
        <v>17294.7</v>
      </c>
      <c r="H386" s="6"/>
      <c r="I386" s="6"/>
    </row>
    <row r="387" spans="1:9" ht="44.25" customHeight="1" x14ac:dyDescent="0.3">
      <c r="A387" s="173"/>
      <c r="B387" s="171"/>
      <c r="C387" s="86" t="s">
        <v>115</v>
      </c>
      <c r="D387" s="36">
        <v>670</v>
      </c>
      <c r="E387" s="36"/>
      <c r="F387" s="36"/>
      <c r="G387" s="50">
        <v>134.4</v>
      </c>
      <c r="H387" s="6"/>
      <c r="I387" s="6"/>
    </row>
    <row r="388" spans="1:9" ht="39" customHeight="1" x14ac:dyDescent="0.3">
      <c r="A388" s="174"/>
      <c r="B388" s="143"/>
      <c r="C388" s="86" t="s">
        <v>116</v>
      </c>
      <c r="D388" s="36">
        <v>10533</v>
      </c>
      <c r="E388" s="36"/>
      <c r="F388" s="36"/>
      <c r="G388" s="50">
        <v>1053.3</v>
      </c>
      <c r="H388" s="6"/>
      <c r="I388" s="6"/>
    </row>
    <row r="389" spans="1:9" x14ac:dyDescent="0.3">
      <c r="A389" s="156" t="s">
        <v>21</v>
      </c>
      <c r="B389" s="157"/>
      <c r="C389" s="157"/>
      <c r="D389" s="157"/>
      <c r="E389" s="157"/>
      <c r="F389" s="158"/>
      <c r="G389" s="38">
        <f>G390</f>
        <v>29080.400000000001</v>
      </c>
      <c r="H389" s="38">
        <f t="shared" ref="H389:I389" si="34">H390</f>
        <v>29080.400000000001</v>
      </c>
      <c r="I389" s="38">
        <f t="shared" si="34"/>
        <v>29080.400000000001</v>
      </c>
    </row>
    <row r="390" spans="1:9" x14ac:dyDescent="0.3">
      <c r="A390" s="187" t="s">
        <v>38</v>
      </c>
      <c r="B390" s="188"/>
      <c r="C390" s="188"/>
      <c r="D390" s="188"/>
      <c r="E390" s="188"/>
      <c r="F390" s="189"/>
      <c r="G390" s="82">
        <f>SUM(G392:G394)</f>
        <v>29080.400000000001</v>
      </c>
      <c r="H390" s="82">
        <f t="shared" ref="H390:I390" si="35">SUM(H392:H394)</f>
        <v>29080.400000000001</v>
      </c>
      <c r="I390" s="82">
        <f t="shared" si="35"/>
        <v>29080.400000000001</v>
      </c>
    </row>
    <row r="391" spans="1:9" x14ac:dyDescent="0.3">
      <c r="A391" s="131" t="s">
        <v>106</v>
      </c>
      <c r="B391" s="132"/>
      <c r="C391" s="132"/>
      <c r="D391" s="2"/>
      <c r="E391" s="2"/>
      <c r="F391" s="2"/>
      <c r="G391" s="6"/>
      <c r="H391" s="6"/>
      <c r="I391" s="6"/>
    </row>
    <row r="392" spans="1:9" ht="40.5" customHeight="1" x14ac:dyDescent="0.3">
      <c r="A392" s="31">
        <v>1</v>
      </c>
      <c r="B392" s="32" t="s">
        <v>107</v>
      </c>
      <c r="C392" s="31" t="s">
        <v>108</v>
      </c>
      <c r="D392" s="36">
        <v>1840</v>
      </c>
      <c r="E392" s="36">
        <v>1840</v>
      </c>
      <c r="F392" s="36">
        <v>1840</v>
      </c>
      <c r="G392" s="33">
        <v>2390.4</v>
      </c>
      <c r="H392" s="33">
        <v>2390.4</v>
      </c>
      <c r="I392" s="33">
        <v>2390.4</v>
      </c>
    </row>
    <row r="393" spans="1:9" ht="58.5" customHeight="1" x14ac:dyDescent="0.3">
      <c r="A393" s="31">
        <v>2</v>
      </c>
      <c r="B393" s="32" t="s">
        <v>109</v>
      </c>
      <c r="C393" s="31" t="s">
        <v>89</v>
      </c>
      <c r="D393" s="36">
        <v>6</v>
      </c>
      <c r="E393" s="36">
        <v>6</v>
      </c>
      <c r="F393" s="36">
        <v>6</v>
      </c>
      <c r="G393" s="33">
        <v>15691.8</v>
      </c>
      <c r="H393" s="33">
        <v>15691.8</v>
      </c>
      <c r="I393" s="33">
        <v>15691.8</v>
      </c>
    </row>
    <row r="394" spans="1:9" ht="42" customHeight="1" x14ac:dyDescent="0.3">
      <c r="A394" s="31">
        <v>3</v>
      </c>
      <c r="B394" s="32" t="s">
        <v>110</v>
      </c>
      <c r="C394" s="31" t="s">
        <v>89</v>
      </c>
      <c r="D394" s="36">
        <v>61</v>
      </c>
      <c r="E394" s="36">
        <v>61</v>
      </c>
      <c r="F394" s="36">
        <v>61</v>
      </c>
      <c r="G394" s="33">
        <v>10998.2</v>
      </c>
      <c r="H394" s="33">
        <v>10998.2</v>
      </c>
      <c r="I394" s="33">
        <v>10998.2</v>
      </c>
    </row>
    <row r="395" spans="1:9" x14ac:dyDescent="0.3">
      <c r="A395" s="156" t="s">
        <v>22</v>
      </c>
      <c r="B395" s="157"/>
      <c r="C395" s="157"/>
      <c r="D395" s="157"/>
      <c r="E395" s="157"/>
      <c r="F395" s="158"/>
      <c r="G395" s="38">
        <f>G396</f>
        <v>856557.10000000009</v>
      </c>
      <c r="H395" s="38">
        <f t="shared" ref="H395:I395" si="36">H396</f>
        <v>725043.1</v>
      </c>
      <c r="I395" s="38">
        <f t="shared" si="36"/>
        <v>725043.1</v>
      </c>
    </row>
    <row r="396" spans="1:9" ht="56.25" customHeight="1" x14ac:dyDescent="0.3">
      <c r="A396" s="134" t="s">
        <v>126</v>
      </c>
      <c r="B396" s="135"/>
      <c r="C396" s="135"/>
      <c r="D396" s="135"/>
      <c r="E396" s="135"/>
      <c r="F396" s="136"/>
      <c r="G396" s="79">
        <f>SUM(G398:G404)</f>
        <v>856557.10000000009</v>
      </c>
      <c r="H396" s="79">
        <f t="shared" ref="H396:I396" si="37">SUM(H398:H404)</f>
        <v>725043.1</v>
      </c>
      <c r="I396" s="79">
        <f t="shared" si="37"/>
        <v>725043.1</v>
      </c>
    </row>
    <row r="397" spans="1:9" ht="18.75" customHeight="1" x14ac:dyDescent="0.3">
      <c r="A397" s="131" t="s">
        <v>127</v>
      </c>
      <c r="B397" s="132"/>
      <c r="C397" s="132"/>
      <c r="D397" s="132"/>
      <c r="E397" s="132"/>
      <c r="F397" s="133"/>
      <c r="G397" s="58"/>
      <c r="H397" s="58"/>
      <c r="I397" s="58"/>
    </row>
    <row r="398" spans="1:9" ht="37.5" x14ac:dyDescent="0.3">
      <c r="A398" s="31">
        <v>1</v>
      </c>
      <c r="B398" s="32" t="s">
        <v>128</v>
      </c>
      <c r="C398" s="31" t="s">
        <v>129</v>
      </c>
      <c r="D398" s="36">
        <v>14448</v>
      </c>
      <c r="E398" s="36">
        <v>13564</v>
      </c>
      <c r="F398" s="36">
        <v>13564</v>
      </c>
      <c r="G398" s="33">
        <v>378912.5</v>
      </c>
      <c r="H398" s="33">
        <v>337485.3</v>
      </c>
      <c r="I398" s="33">
        <v>337485.3</v>
      </c>
    </row>
    <row r="399" spans="1:9" x14ac:dyDescent="0.3">
      <c r="A399" s="31">
        <v>2</v>
      </c>
      <c r="B399" s="32" t="s">
        <v>130</v>
      </c>
      <c r="C399" s="31" t="s">
        <v>131</v>
      </c>
      <c r="D399" s="36">
        <v>1272.4000000000001</v>
      </c>
      <c r="E399" s="36">
        <v>1272.4000000000001</v>
      </c>
      <c r="F399" s="36">
        <v>1272.4000000000001</v>
      </c>
      <c r="G399" s="33">
        <v>255979.8</v>
      </c>
      <c r="H399" s="33">
        <v>255979.8</v>
      </c>
      <c r="I399" s="33">
        <v>255979.8</v>
      </c>
    </row>
    <row r="400" spans="1:9" ht="60" customHeight="1" x14ac:dyDescent="0.3">
      <c r="A400" s="31">
        <v>3</v>
      </c>
      <c r="B400" s="32" t="s">
        <v>30</v>
      </c>
      <c r="C400" s="31" t="s">
        <v>132</v>
      </c>
      <c r="D400" s="36">
        <v>627046</v>
      </c>
      <c r="E400" s="36">
        <v>124175</v>
      </c>
      <c r="F400" s="36">
        <v>124175</v>
      </c>
      <c r="G400" s="33">
        <v>135602</v>
      </c>
      <c r="H400" s="33">
        <v>54042</v>
      </c>
      <c r="I400" s="33">
        <v>54042</v>
      </c>
    </row>
    <row r="401" spans="1:9" ht="37.5" x14ac:dyDescent="0.3">
      <c r="A401" s="31">
        <v>4</v>
      </c>
      <c r="B401" s="32" t="s">
        <v>27</v>
      </c>
      <c r="C401" s="31" t="s">
        <v>133</v>
      </c>
      <c r="D401" s="36">
        <v>750</v>
      </c>
      <c r="E401" s="36">
        <v>750</v>
      </c>
      <c r="F401" s="36">
        <v>750</v>
      </c>
      <c r="G401" s="33">
        <v>33276.1</v>
      </c>
      <c r="H401" s="33">
        <v>37440</v>
      </c>
      <c r="I401" s="33">
        <v>37440</v>
      </c>
    </row>
    <row r="402" spans="1:9" ht="37.5" x14ac:dyDescent="0.3">
      <c r="A402" s="31">
        <v>5</v>
      </c>
      <c r="B402" s="32" t="s">
        <v>134</v>
      </c>
      <c r="C402" s="31" t="s">
        <v>135</v>
      </c>
      <c r="D402" s="36">
        <v>53300</v>
      </c>
      <c r="E402" s="36">
        <v>52260</v>
      </c>
      <c r="F402" s="36">
        <v>52260</v>
      </c>
      <c r="G402" s="33">
        <v>38391.800000000003</v>
      </c>
      <c r="H402" s="33">
        <v>32701.1</v>
      </c>
      <c r="I402" s="33">
        <v>32701.1</v>
      </c>
    </row>
    <row r="403" spans="1:9" ht="23.25" customHeight="1" x14ac:dyDescent="0.3">
      <c r="A403" s="31">
        <v>6</v>
      </c>
      <c r="B403" s="32" t="s">
        <v>136</v>
      </c>
      <c r="C403" s="31" t="s">
        <v>137</v>
      </c>
      <c r="D403" s="36">
        <v>6</v>
      </c>
      <c r="E403" s="36">
        <v>6</v>
      </c>
      <c r="F403" s="36">
        <v>6</v>
      </c>
      <c r="G403" s="33">
        <v>7394.9</v>
      </c>
      <c r="H403" s="33">
        <v>7394.9</v>
      </c>
      <c r="I403" s="33">
        <v>7394.9</v>
      </c>
    </row>
    <row r="404" spans="1:9" ht="37.5" x14ac:dyDescent="0.3">
      <c r="A404" s="31">
        <v>7</v>
      </c>
      <c r="B404" s="32" t="s">
        <v>138</v>
      </c>
      <c r="C404" s="31" t="s">
        <v>139</v>
      </c>
      <c r="D404" s="36">
        <v>4</v>
      </c>
      <c r="E404" s="36"/>
      <c r="F404" s="36"/>
      <c r="G404" s="33">
        <v>7000</v>
      </c>
      <c r="H404" s="33"/>
      <c r="I404" s="33"/>
    </row>
    <row r="405" spans="1:9" ht="39.75" customHeight="1" x14ac:dyDescent="0.3">
      <c r="A405" s="156" t="s">
        <v>23</v>
      </c>
      <c r="B405" s="157"/>
      <c r="C405" s="157"/>
      <c r="D405" s="157"/>
      <c r="E405" s="157"/>
      <c r="F405" s="158"/>
      <c r="G405" s="5">
        <f>G406+G411+G415+G419+G423+G428+G432+G437</f>
        <v>101342</v>
      </c>
      <c r="H405" s="5">
        <f t="shared" ref="H405:I405" si="38">H406+H411+H415+H419+H423+H428+H432+H437</f>
        <v>101342</v>
      </c>
      <c r="I405" s="5">
        <f t="shared" si="38"/>
        <v>101342</v>
      </c>
    </row>
    <row r="406" spans="1:9" ht="21.75" customHeight="1" x14ac:dyDescent="0.3">
      <c r="A406" s="134" t="s">
        <v>25</v>
      </c>
      <c r="B406" s="135"/>
      <c r="C406" s="135"/>
      <c r="D406" s="135"/>
      <c r="E406" s="135"/>
      <c r="F406" s="136"/>
      <c r="G406" s="82">
        <f>SUM(G408:G410)</f>
        <v>10370.4</v>
      </c>
      <c r="H406" s="82">
        <f t="shared" ref="H406:I406" si="39">SUM(H408:H410)</f>
        <v>10370.4</v>
      </c>
      <c r="I406" s="82">
        <f t="shared" si="39"/>
        <v>10370.4</v>
      </c>
    </row>
    <row r="407" spans="1:9" ht="21" customHeight="1" x14ac:dyDescent="0.3">
      <c r="A407" s="131" t="s">
        <v>26</v>
      </c>
      <c r="B407" s="132"/>
      <c r="C407" s="132"/>
      <c r="D407" s="132"/>
      <c r="E407" s="132"/>
      <c r="F407" s="133"/>
      <c r="G407" s="6"/>
      <c r="H407" s="6"/>
      <c r="I407" s="6"/>
    </row>
    <row r="408" spans="1:9" ht="43.5" customHeight="1" x14ac:dyDescent="0.3">
      <c r="A408" s="137">
        <v>1</v>
      </c>
      <c r="B408" s="159" t="s">
        <v>27</v>
      </c>
      <c r="C408" s="31" t="s">
        <v>28</v>
      </c>
      <c r="D408" s="36">
        <v>6090</v>
      </c>
      <c r="E408" s="36">
        <v>6090</v>
      </c>
      <c r="F408" s="36">
        <v>6090</v>
      </c>
      <c r="G408" s="160">
        <v>1050.4000000000001</v>
      </c>
      <c r="H408" s="160">
        <v>1050.4000000000001</v>
      </c>
      <c r="I408" s="160">
        <v>1050.4000000000001</v>
      </c>
    </row>
    <row r="409" spans="1:9" ht="46.5" customHeight="1" x14ac:dyDescent="0.3">
      <c r="A409" s="137"/>
      <c r="B409" s="159"/>
      <c r="C409" s="31" t="s">
        <v>29</v>
      </c>
      <c r="D409" s="36">
        <v>4</v>
      </c>
      <c r="E409" s="36">
        <v>4</v>
      </c>
      <c r="F409" s="36">
        <v>4</v>
      </c>
      <c r="G409" s="160"/>
      <c r="H409" s="160"/>
      <c r="I409" s="160"/>
    </row>
    <row r="410" spans="1:9" ht="72.75" customHeight="1" x14ac:dyDescent="0.3">
      <c r="A410" s="31">
        <v>2</v>
      </c>
      <c r="B410" s="32" t="s">
        <v>30</v>
      </c>
      <c r="C410" s="31" t="s">
        <v>31</v>
      </c>
      <c r="D410" s="36">
        <v>3554</v>
      </c>
      <c r="E410" s="36">
        <v>3554</v>
      </c>
      <c r="F410" s="36">
        <v>3554</v>
      </c>
      <c r="G410" s="33">
        <v>9320</v>
      </c>
      <c r="H410" s="33">
        <v>9320</v>
      </c>
      <c r="I410" s="33">
        <v>9320</v>
      </c>
    </row>
    <row r="411" spans="1:9" ht="20.25" customHeight="1" x14ac:dyDescent="0.3">
      <c r="A411" s="134" t="s">
        <v>32</v>
      </c>
      <c r="B411" s="135"/>
      <c r="C411" s="135"/>
      <c r="D411" s="135"/>
      <c r="E411" s="135"/>
      <c r="F411" s="136"/>
      <c r="G411" s="79">
        <f>SUM(G413)</f>
        <v>9549.6</v>
      </c>
      <c r="H411" s="79">
        <f t="shared" ref="H411:I411" si="40">SUM(H413)</f>
        <v>9549.6</v>
      </c>
      <c r="I411" s="79">
        <f t="shared" si="40"/>
        <v>9549.6</v>
      </c>
    </row>
    <row r="412" spans="1:9" ht="18.75" customHeight="1" x14ac:dyDescent="0.3">
      <c r="A412" s="131" t="s">
        <v>26</v>
      </c>
      <c r="B412" s="132"/>
      <c r="C412" s="132"/>
      <c r="D412" s="132"/>
      <c r="E412" s="132"/>
      <c r="F412" s="133"/>
      <c r="G412" s="33"/>
      <c r="H412" s="33"/>
      <c r="I412" s="33"/>
    </row>
    <row r="413" spans="1:9" ht="37.5" x14ac:dyDescent="0.3">
      <c r="A413" s="137">
        <v>1</v>
      </c>
      <c r="B413" s="159" t="s">
        <v>27</v>
      </c>
      <c r="C413" s="31" t="s">
        <v>28</v>
      </c>
      <c r="D413" s="36">
        <v>41335</v>
      </c>
      <c r="E413" s="36">
        <v>41335</v>
      </c>
      <c r="F413" s="36">
        <v>41335</v>
      </c>
      <c r="G413" s="160">
        <v>9549.6</v>
      </c>
      <c r="H413" s="160">
        <v>9549.6</v>
      </c>
      <c r="I413" s="160">
        <v>9549.6</v>
      </c>
    </row>
    <row r="414" spans="1:9" ht="37.5" x14ac:dyDescent="0.3">
      <c r="A414" s="137"/>
      <c r="B414" s="159"/>
      <c r="C414" s="31" t="s">
        <v>29</v>
      </c>
      <c r="D414" s="36">
        <v>41</v>
      </c>
      <c r="E414" s="36">
        <v>41</v>
      </c>
      <c r="F414" s="36">
        <v>41</v>
      </c>
      <c r="G414" s="160"/>
      <c r="H414" s="160"/>
      <c r="I414" s="160"/>
    </row>
    <row r="415" spans="1:9" ht="18.75" customHeight="1" x14ac:dyDescent="0.3">
      <c r="A415" s="134" t="s">
        <v>33</v>
      </c>
      <c r="B415" s="135"/>
      <c r="C415" s="135"/>
      <c r="D415" s="135"/>
      <c r="E415" s="135"/>
      <c r="F415" s="136"/>
      <c r="G415" s="79">
        <f>SUM(G417)</f>
        <v>8460</v>
      </c>
      <c r="H415" s="79">
        <f t="shared" ref="H415:I415" si="41">SUM(H417)</f>
        <v>8460</v>
      </c>
      <c r="I415" s="79">
        <f t="shared" si="41"/>
        <v>8460</v>
      </c>
    </row>
    <row r="416" spans="1:9" ht="18.75" customHeight="1" x14ac:dyDescent="0.3">
      <c r="A416" s="131" t="s">
        <v>26</v>
      </c>
      <c r="B416" s="132"/>
      <c r="C416" s="132"/>
      <c r="D416" s="132"/>
      <c r="E416" s="132"/>
      <c r="F416" s="133"/>
      <c r="G416" s="33"/>
      <c r="H416" s="33"/>
      <c r="I416" s="33"/>
    </row>
    <row r="417" spans="1:9" ht="37.5" x14ac:dyDescent="0.3">
      <c r="A417" s="137">
        <v>1</v>
      </c>
      <c r="B417" s="159" t="s">
        <v>27</v>
      </c>
      <c r="C417" s="31" t="s">
        <v>28</v>
      </c>
      <c r="D417" s="36">
        <v>25210</v>
      </c>
      <c r="E417" s="36">
        <v>25210</v>
      </c>
      <c r="F417" s="36">
        <v>25210</v>
      </c>
      <c r="G417" s="160">
        <v>8460</v>
      </c>
      <c r="H417" s="160">
        <v>8460</v>
      </c>
      <c r="I417" s="160">
        <v>8460</v>
      </c>
    </row>
    <row r="418" spans="1:9" ht="37.5" x14ac:dyDescent="0.3">
      <c r="A418" s="137"/>
      <c r="B418" s="159"/>
      <c r="C418" s="31" t="s">
        <v>29</v>
      </c>
      <c r="D418" s="36">
        <v>56</v>
      </c>
      <c r="E418" s="36">
        <v>56</v>
      </c>
      <c r="F418" s="36">
        <v>56</v>
      </c>
      <c r="G418" s="160"/>
      <c r="H418" s="160"/>
      <c r="I418" s="160"/>
    </row>
    <row r="419" spans="1:9" ht="18.75" customHeight="1" x14ac:dyDescent="0.3">
      <c r="A419" s="134" t="s">
        <v>34</v>
      </c>
      <c r="B419" s="135"/>
      <c r="C419" s="135"/>
      <c r="D419" s="135"/>
      <c r="E419" s="135"/>
      <c r="F419" s="136"/>
      <c r="G419" s="79">
        <f>SUM(G421)</f>
        <v>8580</v>
      </c>
      <c r="H419" s="79">
        <f t="shared" ref="H419:I419" si="42">SUM(H421)</f>
        <v>8580</v>
      </c>
      <c r="I419" s="79">
        <f t="shared" si="42"/>
        <v>8580</v>
      </c>
    </row>
    <row r="420" spans="1:9" ht="18.75" customHeight="1" x14ac:dyDescent="0.3">
      <c r="A420" s="131" t="s">
        <v>26</v>
      </c>
      <c r="B420" s="132"/>
      <c r="C420" s="132"/>
      <c r="D420" s="132"/>
      <c r="E420" s="132"/>
      <c r="F420" s="133"/>
      <c r="G420" s="33"/>
      <c r="H420" s="33"/>
      <c r="I420" s="33"/>
    </row>
    <row r="421" spans="1:9" ht="37.5" x14ac:dyDescent="0.3">
      <c r="A421" s="137">
        <v>1</v>
      </c>
      <c r="B421" s="159" t="s">
        <v>27</v>
      </c>
      <c r="C421" s="31" t="s">
        <v>28</v>
      </c>
      <c r="D421" s="36">
        <v>11075</v>
      </c>
      <c r="E421" s="36">
        <v>11075</v>
      </c>
      <c r="F421" s="36">
        <v>11075</v>
      </c>
      <c r="G421" s="160">
        <v>8580</v>
      </c>
      <c r="H421" s="160">
        <v>8580</v>
      </c>
      <c r="I421" s="160">
        <v>8580</v>
      </c>
    </row>
    <row r="422" spans="1:9" ht="39.75" customHeight="1" x14ac:dyDescent="0.3">
      <c r="A422" s="137"/>
      <c r="B422" s="159"/>
      <c r="C422" s="31" t="s">
        <v>29</v>
      </c>
      <c r="D422" s="36">
        <v>34</v>
      </c>
      <c r="E422" s="36">
        <v>34</v>
      </c>
      <c r="F422" s="36">
        <v>34</v>
      </c>
      <c r="G422" s="160"/>
      <c r="H422" s="160"/>
      <c r="I422" s="160"/>
    </row>
    <row r="423" spans="1:9" ht="21" customHeight="1" x14ac:dyDescent="0.3">
      <c r="A423" s="134" t="s">
        <v>35</v>
      </c>
      <c r="B423" s="135"/>
      <c r="C423" s="135"/>
      <c r="D423" s="135"/>
      <c r="E423" s="135"/>
      <c r="F423" s="136"/>
      <c r="G423" s="79">
        <f>SUM(G425:G427)</f>
        <v>1400</v>
      </c>
      <c r="H423" s="79">
        <f t="shared" ref="H423:I423" si="43">SUM(H425:H427)</f>
        <v>1400</v>
      </c>
      <c r="I423" s="79">
        <f t="shared" si="43"/>
        <v>1400</v>
      </c>
    </row>
    <row r="424" spans="1:9" ht="23.25" customHeight="1" x14ac:dyDescent="0.3">
      <c r="A424" s="131" t="s">
        <v>26</v>
      </c>
      <c r="B424" s="132"/>
      <c r="C424" s="132"/>
      <c r="D424" s="132"/>
      <c r="E424" s="132"/>
      <c r="F424" s="133"/>
      <c r="G424" s="33"/>
      <c r="H424" s="33"/>
      <c r="I424" s="33"/>
    </row>
    <row r="425" spans="1:9" ht="42.75" customHeight="1" x14ac:dyDescent="0.3">
      <c r="A425" s="137">
        <v>1</v>
      </c>
      <c r="B425" s="159" t="s">
        <v>27</v>
      </c>
      <c r="C425" s="31" t="s">
        <v>28</v>
      </c>
      <c r="D425" s="36">
        <v>15265</v>
      </c>
      <c r="E425" s="36">
        <v>15265</v>
      </c>
      <c r="F425" s="36">
        <v>15265</v>
      </c>
      <c r="G425" s="160">
        <v>1220</v>
      </c>
      <c r="H425" s="160">
        <v>1220</v>
      </c>
      <c r="I425" s="160">
        <v>1220</v>
      </c>
    </row>
    <row r="426" spans="1:9" ht="46.5" customHeight="1" x14ac:dyDescent="0.3">
      <c r="A426" s="137"/>
      <c r="B426" s="159"/>
      <c r="C426" s="31" t="s">
        <v>29</v>
      </c>
      <c r="D426" s="36">
        <v>8</v>
      </c>
      <c r="E426" s="36">
        <v>8</v>
      </c>
      <c r="F426" s="36">
        <v>8</v>
      </c>
      <c r="G426" s="160"/>
      <c r="H426" s="160"/>
      <c r="I426" s="160"/>
    </row>
    <row r="427" spans="1:9" ht="60.75" customHeight="1" x14ac:dyDescent="0.3">
      <c r="A427" s="31">
        <v>2</v>
      </c>
      <c r="B427" s="32" t="s">
        <v>30</v>
      </c>
      <c r="C427" s="31" t="s">
        <v>31</v>
      </c>
      <c r="D427" s="36">
        <v>3996</v>
      </c>
      <c r="E427" s="36">
        <v>3996</v>
      </c>
      <c r="F427" s="36">
        <v>3996</v>
      </c>
      <c r="G427" s="33">
        <v>180</v>
      </c>
      <c r="H427" s="33">
        <v>180</v>
      </c>
      <c r="I427" s="33">
        <v>180</v>
      </c>
    </row>
    <row r="428" spans="1:9" ht="20.25" customHeight="1" x14ac:dyDescent="0.3">
      <c r="A428" s="134" t="s">
        <v>36</v>
      </c>
      <c r="B428" s="135"/>
      <c r="C428" s="135"/>
      <c r="D428" s="135"/>
      <c r="E428" s="135"/>
      <c r="F428" s="136"/>
      <c r="G428" s="79">
        <f>SUM(G430)</f>
        <v>4460</v>
      </c>
      <c r="H428" s="79">
        <f t="shared" ref="H428:I428" si="44">SUM(H430)</f>
        <v>4460</v>
      </c>
      <c r="I428" s="79">
        <f t="shared" si="44"/>
        <v>4460</v>
      </c>
    </row>
    <row r="429" spans="1:9" ht="21" customHeight="1" x14ac:dyDescent="0.3">
      <c r="A429" s="131" t="s">
        <v>26</v>
      </c>
      <c r="B429" s="132"/>
      <c r="C429" s="132"/>
      <c r="D429" s="132"/>
      <c r="E429" s="132"/>
      <c r="F429" s="133"/>
      <c r="G429" s="33"/>
      <c r="H429" s="33"/>
      <c r="I429" s="33"/>
    </row>
    <row r="430" spans="1:9" ht="43.5" customHeight="1" x14ac:dyDescent="0.3">
      <c r="A430" s="137">
        <v>1</v>
      </c>
      <c r="B430" s="159" t="s">
        <v>27</v>
      </c>
      <c r="C430" s="31" t="s">
        <v>28</v>
      </c>
      <c r="D430" s="36">
        <v>10345</v>
      </c>
      <c r="E430" s="36">
        <v>10345</v>
      </c>
      <c r="F430" s="36">
        <v>10345</v>
      </c>
      <c r="G430" s="160">
        <v>4460</v>
      </c>
      <c r="H430" s="160">
        <v>4460</v>
      </c>
      <c r="I430" s="160">
        <v>4460</v>
      </c>
    </row>
    <row r="431" spans="1:9" ht="43.5" customHeight="1" x14ac:dyDescent="0.3">
      <c r="A431" s="137"/>
      <c r="B431" s="159"/>
      <c r="C431" s="31" t="s">
        <v>29</v>
      </c>
      <c r="D431" s="36">
        <v>22</v>
      </c>
      <c r="E431" s="36">
        <v>22</v>
      </c>
      <c r="F431" s="36">
        <v>22</v>
      </c>
      <c r="G431" s="160"/>
      <c r="H431" s="160"/>
      <c r="I431" s="160"/>
    </row>
    <row r="432" spans="1:9" ht="45" customHeight="1" x14ac:dyDescent="0.3">
      <c r="A432" s="134" t="s">
        <v>37</v>
      </c>
      <c r="B432" s="135"/>
      <c r="C432" s="135"/>
      <c r="D432" s="135"/>
      <c r="E432" s="135"/>
      <c r="F432" s="136"/>
      <c r="G432" s="79">
        <f>SUM(G434:G436)</f>
        <v>2380</v>
      </c>
      <c r="H432" s="79">
        <f t="shared" ref="H432:I432" si="45">SUM(H434:H436)</f>
        <v>2380</v>
      </c>
      <c r="I432" s="79">
        <f t="shared" si="45"/>
        <v>2380</v>
      </c>
    </row>
    <row r="433" spans="1:9" ht="21.75" customHeight="1" x14ac:dyDescent="0.3">
      <c r="A433" s="131" t="s">
        <v>26</v>
      </c>
      <c r="B433" s="132"/>
      <c r="C433" s="132"/>
      <c r="D433" s="132"/>
      <c r="E433" s="132"/>
      <c r="F433" s="133"/>
      <c r="G433" s="33"/>
      <c r="H433" s="33"/>
      <c r="I433" s="33"/>
    </row>
    <row r="434" spans="1:9" ht="46.5" customHeight="1" x14ac:dyDescent="0.3">
      <c r="A434" s="137">
        <v>1</v>
      </c>
      <c r="B434" s="159" t="s">
        <v>27</v>
      </c>
      <c r="C434" s="31" t="s">
        <v>28</v>
      </c>
      <c r="D434" s="36">
        <v>1580</v>
      </c>
      <c r="E434" s="36">
        <v>1580</v>
      </c>
      <c r="F434" s="36">
        <v>1580</v>
      </c>
      <c r="G434" s="160">
        <v>1930</v>
      </c>
      <c r="H434" s="160">
        <v>1930</v>
      </c>
      <c r="I434" s="160">
        <v>1930</v>
      </c>
    </row>
    <row r="435" spans="1:9" ht="48.75" customHeight="1" x14ac:dyDescent="0.3">
      <c r="A435" s="137"/>
      <c r="B435" s="159"/>
      <c r="C435" s="31" t="s">
        <v>29</v>
      </c>
      <c r="D435" s="36">
        <v>9</v>
      </c>
      <c r="E435" s="36">
        <v>9</v>
      </c>
      <c r="F435" s="36">
        <v>9</v>
      </c>
      <c r="G435" s="160"/>
      <c r="H435" s="160"/>
      <c r="I435" s="160"/>
    </row>
    <row r="436" spans="1:9" ht="63" customHeight="1" x14ac:dyDescent="0.3">
      <c r="A436" s="31">
        <v>2</v>
      </c>
      <c r="B436" s="32" t="s">
        <v>30</v>
      </c>
      <c r="C436" s="31" t="s">
        <v>31</v>
      </c>
      <c r="D436" s="52">
        <v>100</v>
      </c>
      <c r="E436" s="36">
        <v>100</v>
      </c>
      <c r="F436" s="36">
        <v>100</v>
      </c>
      <c r="G436" s="33">
        <v>450</v>
      </c>
      <c r="H436" s="33">
        <v>450</v>
      </c>
      <c r="I436" s="33">
        <v>450</v>
      </c>
    </row>
    <row r="437" spans="1:9" ht="24.75" customHeight="1" x14ac:dyDescent="0.3">
      <c r="A437" s="134" t="s">
        <v>38</v>
      </c>
      <c r="B437" s="135"/>
      <c r="C437" s="135"/>
      <c r="D437" s="135"/>
      <c r="E437" s="135"/>
      <c r="F437" s="136"/>
      <c r="G437" s="79">
        <f>SUM(G439)</f>
        <v>56142</v>
      </c>
      <c r="H437" s="79">
        <f t="shared" ref="H437:I437" si="46">SUM(H439)</f>
        <v>56142</v>
      </c>
      <c r="I437" s="79">
        <f t="shared" si="46"/>
        <v>56142</v>
      </c>
    </row>
    <row r="438" spans="1:9" ht="21" customHeight="1" x14ac:dyDescent="0.3">
      <c r="A438" s="131" t="s">
        <v>26</v>
      </c>
      <c r="B438" s="132"/>
      <c r="C438" s="132"/>
      <c r="D438" s="132"/>
      <c r="E438" s="132"/>
      <c r="F438" s="133"/>
      <c r="G438" s="33"/>
      <c r="H438" s="33"/>
      <c r="I438" s="33"/>
    </row>
    <row r="439" spans="1:9" ht="43.5" customHeight="1" x14ac:dyDescent="0.3">
      <c r="A439" s="137">
        <v>1</v>
      </c>
      <c r="B439" s="159" t="s">
        <v>27</v>
      </c>
      <c r="C439" s="31" t="s">
        <v>28</v>
      </c>
      <c r="D439" s="36">
        <v>100</v>
      </c>
      <c r="E439" s="36">
        <v>100</v>
      </c>
      <c r="F439" s="36">
        <v>100</v>
      </c>
      <c r="G439" s="160">
        <v>56142</v>
      </c>
      <c r="H439" s="160">
        <v>56142</v>
      </c>
      <c r="I439" s="160">
        <v>56142</v>
      </c>
    </row>
    <row r="440" spans="1:9" ht="37.5" x14ac:dyDescent="0.3">
      <c r="A440" s="137"/>
      <c r="B440" s="159"/>
      <c r="C440" s="31" t="s">
        <v>29</v>
      </c>
      <c r="D440" s="36">
        <v>3</v>
      </c>
      <c r="E440" s="36">
        <v>3</v>
      </c>
      <c r="F440" s="36">
        <v>3</v>
      </c>
      <c r="G440" s="160"/>
      <c r="H440" s="160"/>
      <c r="I440" s="160"/>
    </row>
    <row r="441" spans="1:9" x14ac:dyDescent="0.3">
      <c r="A441" s="153" t="s">
        <v>39</v>
      </c>
      <c r="B441" s="154"/>
      <c r="C441" s="154"/>
      <c r="D441" s="154"/>
      <c r="E441" s="154"/>
      <c r="F441" s="155"/>
      <c r="G441" s="38">
        <f>G9+G51+G121+G141+G148+G211+G251+G282+G325+G347+G361+G382+G389+G395+G405</f>
        <v>53483132.300000012</v>
      </c>
      <c r="H441" s="38">
        <f>H9+H51+H121+H141+H148+H211+H251+H282+H325+H347+H361+H382+H389+H395+H405</f>
        <v>51690856.879999995</v>
      </c>
      <c r="I441" s="38">
        <f>I9+I51+I121+I141+I148+I211+I251+I282+I325+I347+I361+I382+I389+I395+I405</f>
        <v>49592191.500000007</v>
      </c>
    </row>
  </sheetData>
  <mergeCells count="248">
    <mergeCell ref="A362:F362"/>
    <mergeCell ref="A207:A208"/>
    <mergeCell ref="B207:B208"/>
    <mergeCell ref="G207:G208"/>
    <mergeCell ref="H207:H208"/>
    <mergeCell ref="A122:F122"/>
    <mergeCell ref="A123:F123"/>
    <mergeCell ref="A135:F135"/>
    <mergeCell ref="A136:F136"/>
    <mergeCell ref="A138:F138"/>
    <mergeCell ref="A338:F338"/>
    <mergeCell ref="A183:A185"/>
    <mergeCell ref="B183:B185"/>
    <mergeCell ref="G183:G185"/>
    <mergeCell ref="H183:H185"/>
    <mergeCell ref="H158:H163"/>
    <mergeCell ref="A192:A197"/>
    <mergeCell ref="B192:B197"/>
    <mergeCell ref="G192:G197"/>
    <mergeCell ref="H192:H197"/>
    <mergeCell ref="C207:C208"/>
    <mergeCell ref="D207:D208"/>
    <mergeCell ref="E207:E208"/>
    <mergeCell ref="F207:F208"/>
    <mergeCell ref="I207:I208"/>
    <mergeCell ref="A199:A204"/>
    <mergeCell ref="B199:B204"/>
    <mergeCell ref="G199:G204"/>
    <mergeCell ref="H199:H204"/>
    <mergeCell ref="I199:I204"/>
    <mergeCell ref="A186:A191"/>
    <mergeCell ref="B186:B191"/>
    <mergeCell ref="G186:G191"/>
    <mergeCell ref="H186:H191"/>
    <mergeCell ref="I186:I191"/>
    <mergeCell ref="I192:I197"/>
    <mergeCell ref="I183:I185"/>
    <mergeCell ref="G178:G180"/>
    <mergeCell ref="H178:H180"/>
    <mergeCell ref="I178:I180"/>
    <mergeCell ref="A181:A182"/>
    <mergeCell ref="B181:B182"/>
    <mergeCell ref="G181:G182"/>
    <mergeCell ref="H181:H182"/>
    <mergeCell ref="I181:I182"/>
    <mergeCell ref="A178:A180"/>
    <mergeCell ref="B178:B180"/>
    <mergeCell ref="I158:I163"/>
    <mergeCell ref="A176:A177"/>
    <mergeCell ref="B176:B177"/>
    <mergeCell ref="G176:G177"/>
    <mergeCell ref="H176:H177"/>
    <mergeCell ref="I176:I177"/>
    <mergeCell ref="A169:A175"/>
    <mergeCell ref="B169:B175"/>
    <mergeCell ref="G169:G175"/>
    <mergeCell ref="H169:H175"/>
    <mergeCell ref="I169:I175"/>
    <mergeCell ref="C160:C161"/>
    <mergeCell ref="I155:I157"/>
    <mergeCell ref="A150:F150"/>
    <mergeCell ref="A153:F153"/>
    <mergeCell ref="A154:F154"/>
    <mergeCell ref="A155:A157"/>
    <mergeCell ref="B155:B157"/>
    <mergeCell ref="A396:F396"/>
    <mergeCell ref="A390:F390"/>
    <mergeCell ref="A339:F339"/>
    <mergeCell ref="A282:F282"/>
    <mergeCell ref="A251:F251"/>
    <mergeCell ref="A211:F211"/>
    <mergeCell ref="A212:F212"/>
    <mergeCell ref="A213:F213"/>
    <mergeCell ref="A219:F219"/>
    <mergeCell ref="A220:F220"/>
    <mergeCell ref="B350:B353"/>
    <mergeCell ref="G350:G353"/>
    <mergeCell ref="H350:H353"/>
    <mergeCell ref="A164:A168"/>
    <mergeCell ref="B164:B168"/>
    <mergeCell ref="G164:G168"/>
    <mergeCell ref="H164:H168"/>
    <mergeCell ref="I164:I168"/>
    <mergeCell ref="A397:F397"/>
    <mergeCell ref="A391:C391"/>
    <mergeCell ref="A384:C384"/>
    <mergeCell ref="B385:B388"/>
    <mergeCell ref="A385:A388"/>
    <mergeCell ref="A143:F143"/>
    <mergeCell ref="A142:F142"/>
    <mergeCell ref="G145:G147"/>
    <mergeCell ref="H145:H147"/>
    <mergeCell ref="A145:A147"/>
    <mergeCell ref="B145:B147"/>
    <mergeCell ref="A149:F149"/>
    <mergeCell ref="A347:F347"/>
    <mergeCell ref="A325:F325"/>
    <mergeCell ref="A326:F326"/>
    <mergeCell ref="A327:F327"/>
    <mergeCell ref="A329:F329"/>
    <mergeCell ref="A330:F330"/>
    <mergeCell ref="G155:G157"/>
    <mergeCell ref="H155:H157"/>
    <mergeCell ref="A158:A163"/>
    <mergeCell ref="B158:B163"/>
    <mergeCell ref="G158:G163"/>
    <mergeCell ref="A383:F383"/>
    <mergeCell ref="A9:F9"/>
    <mergeCell ref="A148:F148"/>
    <mergeCell ref="A141:F141"/>
    <mergeCell ref="A121:F121"/>
    <mergeCell ref="A4:I4"/>
    <mergeCell ref="D6:F6"/>
    <mergeCell ref="G6:I6"/>
    <mergeCell ref="H2:I2"/>
    <mergeCell ref="A6:A7"/>
    <mergeCell ref="B6:B7"/>
    <mergeCell ref="C6:C7"/>
    <mergeCell ref="A10:F10"/>
    <mergeCell ref="A11:F11"/>
    <mergeCell ref="A13:A14"/>
    <mergeCell ref="B13:B14"/>
    <mergeCell ref="G13:G14"/>
    <mergeCell ref="H13:H14"/>
    <mergeCell ref="I13:I14"/>
    <mergeCell ref="A15:A17"/>
    <mergeCell ref="I145:I147"/>
    <mergeCell ref="B15:B17"/>
    <mergeCell ref="G15:G17"/>
    <mergeCell ref="H15:H17"/>
    <mergeCell ref="I15:I17"/>
    <mergeCell ref="A408:A409"/>
    <mergeCell ref="B408:B409"/>
    <mergeCell ref="G408:G409"/>
    <mergeCell ref="H408:H409"/>
    <mergeCell ref="I408:I409"/>
    <mergeCell ref="A413:A414"/>
    <mergeCell ref="B413:B414"/>
    <mergeCell ref="G413:G414"/>
    <mergeCell ref="H413:H414"/>
    <mergeCell ref="I413:I414"/>
    <mergeCell ref="A417:A418"/>
    <mergeCell ref="B417:B418"/>
    <mergeCell ref="G417:G418"/>
    <mergeCell ref="H417:H418"/>
    <mergeCell ref="I417:I418"/>
    <mergeCell ref="A421:A422"/>
    <mergeCell ref="B421:B422"/>
    <mergeCell ref="G421:G422"/>
    <mergeCell ref="H421:H422"/>
    <mergeCell ref="I421:I422"/>
    <mergeCell ref="I430:I431"/>
    <mergeCell ref="A429:F429"/>
    <mergeCell ref="A425:A426"/>
    <mergeCell ref="B425:B426"/>
    <mergeCell ref="G425:G426"/>
    <mergeCell ref="H425:H426"/>
    <mergeCell ref="I425:I426"/>
    <mergeCell ref="A428:F428"/>
    <mergeCell ref="H430:H431"/>
    <mergeCell ref="G430:G431"/>
    <mergeCell ref="A437:F437"/>
    <mergeCell ref="A438:F438"/>
    <mergeCell ref="A434:A435"/>
    <mergeCell ref="B434:B435"/>
    <mergeCell ref="G434:G435"/>
    <mergeCell ref="H434:H435"/>
    <mergeCell ref="I434:I435"/>
    <mergeCell ref="A439:A440"/>
    <mergeCell ref="B439:B440"/>
    <mergeCell ref="G439:G440"/>
    <mergeCell ref="H439:H440"/>
    <mergeCell ref="I350:I353"/>
    <mergeCell ref="A350:A353"/>
    <mergeCell ref="A348:F348"/>
    <mergeCell ref="A441:F441"/>
    <mergeCell ref="A405:F405"/>
    <mergeCell ref="A407:F407"/>
    <mergeCell ref="A406:F406"/>
    <mergeCell ref="A411:F411"/>
    <mergeCell ref="A412:F412"/>
    <mergeCell ref="A415:F415"/>
    <mergeCell ref="A416:F416"/>
    <mergeCell ref="A419:F419"/>
    <mergeCell ref="A420:F420"/>
    <mergeCell ref="A423:F423"/>
    <mergeCell ref="A424:F424"/>
    <mergeCell ref="A432:F432"/>
    <mergeCell ref="A433:F433"/>
    <mergeCell ref="A430:A431"/>
    <mergeCell ref="B430:B431"/>
    <mergeCell ref="A395:F395"/>
    <mergeCell ref="A389:F389"/>
    <mergeCell ref="A382:F382"/>
    <mergeCell ref="A361:F361"/>
    <mergeCell ref="I439:I440"/>
    <mergeCell ref="A18:A20"/>
    <mergeCell ref="B18:B20"/>
    <mergeCell ref="A21:A22"/>
    <mergeCell ref="B21:B22"/>
    <mergeCell ref="A23:A24"/>
    <mergeCell ref="B23:B24"/>
    <mergeCell ref="G23:G24"/>
    <mergeCell ref="H23:H24"/>
    <mergeCell ref="I23:I24"/>
    <mergeCell ref="A25:A26"/>
    <mergeCell ref="B25:B26"/>
    <mergeCell ref="G25:G26"/>
    <mergeCell ref="H25:H26"/>
    <mergeCell ref="I25:I26"/>
    <mergeCell ref="A28:A29"/>
    <mergeCell ref="B28:B29"/>
    <mergeCell ref="G28:G29"/>
    <mergeCell ref="H28:H29"/>
    <mergeCell ref="I28:I29"/>
    <mergeCell ref="H46:H47"/>
    <mergeCell ref="I46:I47"/>
    <mergeCell ref="A49:F49"/>
    <mergeCell ref="A48:F48"/>
    <mergeCell ref="A51:F51"/>
    <mergeCell ref="A35:A36"/>
    <mergeCell ref="B35:B36"/>
    <mergeCell ref="G35:G36"/>
    <mergeCell ref="H35:H36"/>
    <mergeCell ref="I35:I36"/>
    <mergeCell ref="A44:A45"/>
    <mergeCell ref="B44:B45"/>
    <mergeCell ref="G44:G45"/>
    <mergeCell ref="H44:H45"/>
    <mergeCell ref="I44:I45"/>
    <mergeCell ref="A52:F52"/>
    <mergeCell ref="A55:F55"/>
    <mergeCell ref="A63:F63"/>
    <mergeCell ref="A67:F67"/>
    <mergeCell ref="A75:F75"/>
    <mergeCell ref="A76:F76"/>
    <mergeCell ref="A46:A47"/>
    <mergeCell ref="B46:B47"/>
    <mergeCell ref="G46:G47"/>
    <mergeCell ref="A118:F118"/>
    <mergeCell ref="A117:F117"/>
    <mergeCell ref="A78:F78"/>
    <mergeCell ref="A81:F81"/>
    <mergeCell ref="A105:F105"/>
    <mergeCell ref="A104:F104"/>
    <mergeCell ref="A115:F115"/>
    <mergeCell ref="A114:F114"/>
    <mergeCell ref="A53:F53"/>
  </mergeCells>
  <pageMargins left="0.39370078740157483" right="0.39370078740157483" top="0.39370078740157483" bottom="0.39370078740157483" header="0.31496062992125984" footer="0.31496062992125984"/>
  <pageSetup paperSize="9" scale="55" firstPageNumber="1520" orientation="landscape" useFirstPageNumber="1" r:id="rId1"/>
  <headerFooter>
    <oddFooter>&amp;R&amp;P</oddFooter>
  </headerFooter>
  <rowBreaks count="2" manualBreakCount="2">
    <brk id="346" max="8" man="1"/>
    <brk id="38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view="pageBreakPreview" zoomScale="80" zoomScaleNormal="100" zoomScaleSheetLayoutView="80" workbookViewId="0">
      <pane xSplit="4" ySplit="9" topLeftCell="E10" activePane="bottomRight" state="frozen"/>
      <selection pane="topRight" activeCell="F1" sqref="F1"/>
      <selection pane="bottomLeft" activeCell="A10" sqref="A10"/>
      <selection pane="bottomRight" sqref="A1:A1048576"/>
    </sheetView>
  </sheetViews>
  <sheetFormatPr defaultRowHeight="18.75" x14ac:dyDescent="0.3"/>
  <cols>
    <col min="1" max="1" width="6.7109375" style="262" customWidth="1"/>
    <col min="2" max="2" width="50" style="88" customWidth="1"/>
    <col min="3" max="3" width="79" style="88" customWidth="1"/>
    <col min="4" max="4" width="29.7109375" style="88" customWidth="1"/>
    <col min="5" max="10" width="15.7109375" style="88" customWidth="1"/>
    <col min="11" max="11" width="11.28515625" style="1" bestFit="1" customWidth="1"/>
    <col min="12" max="13" width="9.7109375" style="1" bestFit="1" customWidth="1"/>
    <col min="14" max="16384" width="9.140625" style="1"/>
  </cols>
  <sheetData>
    <row r="1" spans="1:14" x14ac:dyDescent="0.3">
      <c r="I1" s="263"/>
      <c r="J1" s="264" t="s">
        <v>7</v>
      </c>
      <c r="L1" s="93"/>
      <c r="M1" s="93"/>
      <c r="N1" s="93"/>
    </row>
    <row r="2" spans="1:14" x14ac:dyDescent="0.3">
      <c r="I2" s="265" t="s">
        <v>8</v>
      </c>
      <c r="J2" s="265"/>
    </row>
    <row r="4" spans="1:14" ht="22.5" customHeight="1" x14ac:dyDescent="0.3">
      <c r="A4" s="266" t="s">
        <v>684</v>
      </c>
      <c r="B4" s="266"/>
      <c r="C4" s="266"/>
      <c r="D4" s="266"/>
      <c r="E4" s="266"/>
      <c r="F4" s="266"/>
      <c r="G4" s="266"/>
      <c r="H4" s="266"/>
      <c r="I4" s="266"/>
      <c r="J4" s="266"/>
    </row>
    <row r="6" spans="1:14" ht="39.75" customHeight="1" x14ac:dyDescent="0.3">
      <c r="A6" s="223" t="s">
        <v>0</v>
      </c>
      <c r="B6" s="223" t="s">
        <v>476</v>
      </c>
      <c r="C6" s="217" t="s">
        <v>475</v>
      </c>
      <c r="D6" s="223" t="s">
        <v>1</v>
      </c>
      <c r="E6" s="223" t="s">
        <v>5</v>
      </c>
      <c r="F6" s="223"/>
      <c r="G6" s="223"/>
      <c r="H6" s="223" t="s">
        <v>6</v>
      </c>
      <c r="I6" s="223"/>
      <c r="J6" s="223"/>
    </row>
    <row r="7" spans="1:14" ht="29.25" customHeight="1" x14ac:dyDescent="0.3">
      <c r="A7" s="223"/>
      <c r="B7" s="223"/>
      <c r="C7" s="218"/>
      <c r="D7" s="223"/>
      <c r="E7" s="121" t="s">
        <v>3</v>
      </c>
      <c r="F7" s="121" t="s">
        <v>4</v>
      </c>
      <c r="G7" s="121" t="s">
        <v>650</v>
      </c>
      <c r="H7" s="121" t="s">
        <v>3</v>
      </c>
      <c r="I7" s="121" t="s">
        <v>4</v>
      </c>
      <c r="J7" s="121" t="s">
        <v>650</v>
      </c>
    </row>
    <row r="8" spans="1:14" ht="19.5" customHeight="1" x14ac:dyDescent="0.3">
      <c r="A8" s="121">
        <v>1</v>
      </c>
      <c r="B8" s="121">
        <v>2</v>
      </c>
      <c r="C8" s="121">
        <v>3</v>
      </c>
      <c r="D8" s="121">
        <v>4</v>
      </c>
      <c r="E8" s="121">
        <v>5</v>
      </c>
      <c r="F8" s="121">
        <v>6</v>
      </c>
      <c r="G8" s="121">
        <v>7</v>
      </c>
      <c r="H8" s="121">
        <v>7</v>
      </c>
      <c r="I8" s="121">
        <v>8</v>
      </c>
      <c r="J8" s="121">
        <v>9</v>
      </c>
    </row>
    <row r="9" spans="1:14" s="90" customFormat="1" ht="24.95" customHeight="1" x14ac:dyDescent="0.25">
      <c r="A9" s="267" t="s">
        <v>494</v>
      </c>
      <c r="B9" s="268"/>
      <c r="C9" s="268"/>
      <c r="D9" s="268"/>
      <c r="E9" s="268"/>
      <c r="F9" s="268"/>
      <c r="G9" s="269"/>
      <c r="H9" s="270">
        <f>SUM(H10:H45)</f>
        <v>466597.64843</v>
      </c>
      <c r="I9" s="270">
        <f>SUM(I10:I45)</f>
        <v>446756.2300000001</v>
      </c>
      <c r="J9" s="270">
        <f>SUM(J10:J45)</f>
        <v>434659.8000000001</v>
      </c>
      <c r="K9" s="117"/>
    </row>
    <row r="10" spans="1:14" ht="79.5" customHeight="1" x14ac:dyDescent="0.3">
      <c r="A10" s="223">
        <v>1</v>
      </c>
      <c r="B10" s="228" t="s">
        <v>474</v>
      </c>
      <c r="C10" s="121" t="s">
        <v>477</v>
      </c>
      <c r="D10" s="119" t="s">
        <v>478</v>
      </c>
      <c r="E10" s="123">
        <v>149</v>
      </c>
      <c r="F10" s="123">
        <v>149</v>
      </c>
      <c r="G10" s="123">
        <v>149</v>
      </c>
      <c r="H10" s="127">
        <v>18468.099999999999</v>
      </c>
      <c r="I10" s="127">
        <v>18803</v>
      </c>
      <c r="J10" s="127">
        <v>19200</v>
      </c>
      <c r="K10" s="118"/>
    </row>
    <row r="11" spans="1:14" ht="79.5" customHeight="1" x14ac:dyDescent="0.3">
      <c r="A11" s="223"/>
      <c r="B11" s="228"/>
      <c r="C11" s="121" t="s">
        <v>479</v>
      </c>
      <c r="D11" s="119" t="s">
        <v>478</v>
      </c>
      <c r="E11" s="121">
        <v>532</v>
      </c>
      <c r="F11" s="121">
        <v>513</v>
      </c>
      <c r="G11" s="121">
        <v>501</v>
      </c>
      <c r="H11" s="127">
        <v>64940</v>
      </c>
      <c r="I11" s="127">
        <v>63737.9</v>
      </c>
      <c r="J11" s="127">
        <v>63558.3</v>
      </c>
      <c r="K11" s="118"/>
      <c r="L11" s="93"/>
      <c r="M11" s="93"/>
    </row>
    <row r="12" spans="1:14" ht="69.75" customHeight="1" x14ac:dyDescent="0.3">
      <c r="A12" s="223"/>
      <c r="B12" s="228"/>
      <c r="C12" s="121" t="s">
        <v>557</v>
      </c>
      <c r="D12" s="119" t="s">
        <v>478</v>
      </c>
      <c r="E12" s="121">
        <v>95</v>
      </c>
      <c r="F12" s="121">
        <v>80</v>
      </c>
      <c r="G12" s="121">
        <v>74</v>
      </c>
      <c r="H12" s="127">
        <v>11774.9</v>
      </c>
      <c r="I12" s="127">
        <v>10095.6</v>
      </c>
      <c r="J12" s="127">
        <v>9535.6</v>
      </c>
      <c r="K12" s="118"/>
    </row>
    <row r="13" spans="1:14" ht="72" customHeight="1" x14ac:dyDescent="0.3">
      <c r="A13" s="223"/>
      <c r="B13" s="228"/>
      <c r="C13" s="121" t="s">
        <v>480</v>
      </c>
      <c r="D13" s="119" t="s">
        <v>478</v>
      </c>
      <c r="E13" s="121">
        <v>2</v>
      </c>
      <c r="F13" s="121">
        <v>1</v>
      </c>
      <c r="G13" s="121">
        <v>0</v>
      </c>
      <c r="H13" s="127">
        <v>247.9</v>
      </c>
      <c r="I13" s="127">
        <v>126.2</v>
      </c>
      <c r="J13" s="127">
        <v>126.2</v>
      </c>
      <c r="K13" s="118"/>
    </row>
    <row r="14" spans="1:14" ht="65.25" customHeight="1" x14ac:dyDescent="0.3">
      <c r="A14" s="217">
        <v>2</v>
      </c>
      <c r="B14" s="215" t="s">
        <v>426</v>
      </c>
      <c r="C14" s="121" t="s">
        <v>477</v>
      </c>
      <c r="D14" s="119" t="s">
        <v>478</v>
      </c>
      <c r="E14" s="123">
        <v>149</v>
      </c>
      <c r="F14" s="123">
        <v>149</v>
      </c>
      <c r="G14" s="123">
        <v>149</v>
      </c>
      <c r="H14" s="127">
        <v>15750.9</v>
      </c>
      <c r="I14" s="127">
        <v>16803.400000000001</v>
      </c>
      <c r="J14" s="127">
        <v>17318.400000000001</v>
      </c>
      <c r="K14" s="118"/>
    </row>
    <row r="15" spans="1:14" ht="65.25" customHeight="1" x14ac:dyDescent="0.3">
      <c r="A15" s="219"/>
      <c r="B15" s="224"/>
      <c r="C15" s="121" t="s">
        <v>479</v>
      </c>
      <c r="D15" s="119" t="s">
        <v>478</v>
      </c>
      <c r="E15" s="121">
        <v>616</v>
      </c>
      <c r="F15" s="121">
        <v>585</v>
      </c>
      <c r="G15" s="121">
        <v>572</v>
      </c>
      <c r="H15" s="127">
        <v>65118</v>
      </c>
      <c r="I15" s="127">
        <v>65973</v>
      </c>
      <c r="J15" s="127">
        <v>66484</v>
      </c>
      <c r="K15" s="118"/>
    </row>
    <row r="16" spans="1:14" ht="65.25" customHeight="1" x14ac:dyDescent="0.3">
      <c r="A16" s="219"/>
      <c r="B16" s="224"/>
      <c r="C16" s="121" t="s">
        <v>481</v>
      </c>
      <c r="D16" s="119" t="s">
        <v>478</v>
      </c>
      <c r="E16" s="123">
        <v>6</v>
      </c>
      <c r="F16" s="123">
        <v>5</v>
      </c>
      <c r="G16" s="123">
        <v>1</v>
      </c>
      <c r="H16" s="127">
        <v>634.29999999999995</v>
      </c>
      <c r="I16" s="127">
        <v>563.9</v>
      </c>
      <c r="J16" s="127">
        <v>116.2</v>
      </c>
      <c r="K16" s="118"/>
    </row>
    <row r="17" spans="1:11" ht="55.5" customHeight="1" x14ac:dyDescent="0.3">
      <c r="A17" s="219"/>
      <c r="B17" s="224"/>
      <c r="C17" s="121" t="s">
        <v>482</v>
      </c>
      <c r="D17" s="119" t="s">
        <v>478</v>
      </c>
      <c r="E17" s="123">
        <v>4</v>
      </c>
      <c r="F17" s="123">
        <v>2</v>
      </c>
      <c r="G17" s="123">
        <v>1</v>
      </c>
      <c r="H17" s="127">
        <v>422.8</v>
      </c>
      <c r="I17" s="127">
        <v>225.5</v>
      </c>
      <c r="J17" s="127">
        <v>116.2</v>
      </c>
      <c r="K17" s="118"/>
    </row>
    <row r="18" spans="1:11" ht="78" customHeight="1" x14ac:dyDescent="0.3">
      <c r="A18" s="218"/>
      <c r="B18" s="216"/>
      <c r="C18" s="121" t="s">
        <v>483</v>
      </c>
      <c r="D18" s="119" t="s">
        <v>478</v>
      </c>
      <c r="E18" s="123">
        <v>3</v>
      </c>
      <c r="F18" s="123">
        <v>2</v>
      </c>
      <c r="G18" s="123">
        <v>1</v>
      </c>
      <c r="H18" s="127">
        <v>388.3</v>
      </c>
      <c r="I18" s="127">
        <v>388.3</v>
      </c>
      <c r="J18" s="127">
        <v>388.3</v>
      </c>
      <c r="K18" s="118"/>
    </row>
    <row r="19" spans="1:11" ht="67.5" customHeight="1" x14ac:dyDescent="0.3">
      <c r="A19" s="217">
        <v>3</v>
      </c>
      <c r="B19" s="215" t="s">
        <v>484</v>
      </c>
      <c r="C19" s="121" t="s">
        <v>485</v>
      </c>
      <c r="D19" s="119" t="s">
        <v>478</v>
      </c>
      <c r="E19" s="123">
        <v>906</v>
      </c>
      <c r="F19" s="123">
        <v>882</v>
      </c>
      <c r="G19" s="123">
        <v>842</v>
      </c>
      <c r="H19" s="127">
        <v>87740.9</v>
      </c>
      <c r="I19" s="127">
        <v>72078.3</v>
      </c>
      <c r="J19" s="127">
        <v>69147.7</v>
      </c>
      <c r="K19" s="118"/>
    </row>
    <row r="20" spans="1:11" ht="53.25" customHeight="1" x14ac:dyDescent="0.3">
      <c r="A20" s="219"/>
      <c r="B20" s="224"/>
      <c r="C20" s="121" t="s">
        <v>486</v>
      </c>
      <c r="D20" s="119" t="s">
        <v>478</v>
      </c>
      <c r="E20" s="123">
        <v>9</v>
      </c>
      <c r="F20" s="123">
        <v>9</v>
      </c>
      <c r="G20" s="123">
        <v>4</v>
      </c>
      <c r="H20" s="127">
        <v>881</v>
      </c>
      <c r="I20" s="127">
        <v>889.5</v>
      </c>
      <c r="J20" s="127">
        <v>407.2</v>
      </c>
      <c r="K20" s="118"/>
    </row>
    <row r="21" spans="1:11" ht="53.25" customHeight="1" x14ac:dyDescent="0.3">
      <c r="A21" s="219"/>
      <c r="B21" s="224"/>
      <c r="C21" s="121" t="s">
        <v>487</v>
      </c>
      <c r="D21" s="119" t="s">
        <v>478</v>
      </c>
      <c r="E21" s="123">
        <v>9</v>
      </c>
      <c r="F21" s="123">
        <v>8</v>
      </c>
      <c r="G21" s="123">
        <v>6</v>
      </c>
      <c r="H21" s="127">
        <v>881</v>
      </c>
      <c r="I21" s="127">
        <v>790.7</v>
      </c>
      <c r="J21" s="127">
        <v>610.9</v>
      </c>
      <c r="K21" s="118"/>
    </row>
    <row r="22" spans="1:11" ht="56.25" customHeight="1" x14ac:dyDescent="0.3">
      <c r="A22" s="219"/>
      <c r="B22" s="224"/>
      <c r="C22" s="121" t="s">
        <v>488</v>
      </c>
      <c r="D22" s="119" t="s">
        <v>478</v>
      </c>
      <c r="E22" s="123">
        <v>8</v>
      </c>
      <c r="F22" s="123">
        <v>8</v>
      </c>
      <c r="G22" s="123">
        <v>8</v>
      </c>
      <c r="H22" s="127">
        <v>783.2</v>
      </c>
      <c r="I22" s="127">
        <v>790.7</v>
      </c>
      <c r="J22" s="127">
        <v>814.5</v>
      </c>
      <c r="K22" s="118"/>
    </row>
    <row r="23" spans="1:11" ht="57" customHeight="1" x14ac:dyDescent="0.3">
      <c r="A23" s="219"/>
      <c r="B23" s="224"/>
      <c r="C23" s="121" t="s">
        <v>489</v>
      </c>
      <c r="D23" s="119" t="s">
        <v>478</v>
      </c>
      <c r="E23" s="123">
        <v>1</v>
      </c>
      <c r="F23" s="123">
        <v>0</v>
      </c>
      <c r="G23" s="123">
        <v>0</v>
      </c>
      <c r="H23" s="127">
        <v>97.9</v>
      </c>
      <c r="I23" s="127">
        <v>0</v>
      </c>
      <c r="J23" s="127">
        <v>0</v>
      </c>
      <c r="K23" s="118"/>
    </row>
    <row r="24" spans="1:11" ht="73.5" customHeight="1" x14ac:dyDescent="0.3">
      <c r="A24" s="219"/>
      <c r="B24" s="224"/>
      <c r="C24" s="121" t="s">
        <v>490</v>
      </c>
      <c r="D24" s="119" t="s">
        <v>478</v>
      </c>
      <c r="E24" s="121">
        <v>3</v>
      </c>
      <c r="F24" s="121">
        <v>3</v>
      </c>
      <c r="G24" s="121">
        <v>3</v>
      </c>
      <c r="H24" s="127">
        <v>100.9</v>
      </c>
      <c r="I24" s="127">
        <v>296.5</v>
      </c>
      <c r="J24" s="127">
        <v>305.39999999999998</v>
      </c>
      <c r="K24" s="118"/>
    </row>
    <row r="25" spans="1:11" ht="68.25" customHeight="1" x14ac:dyDescent="0.3">
      <c r="A25" s="218"/>
      <c r="B25" s="216"/>
      <c r="C25" s="121" t="s">
        <v>491</v>
      </c>
      <c r="D25" s="119" t="s">
        <v>478</v>
      </c>
      <c r="E25" s="123">
        <v>2</v>
      </c>
      <c r="F25" s="123">
        <v>2</v>
      </c>
      <c r="G25" s="123">
        <v>2</v>
      </c>
      <c r="H25" s="127">
        <v>195.8</v>
      </c>
      <c r="I25" s="127">
        <v>197.7</v>
      </c>
      <c r="J25" s="127">
        <v>203.6</v>
      </c>
      <c r="K25" s="118"/>
    </row>
    <row r="26" spans="1:11" s="87" customFormat="1" ht="67.5" customHeight="1" x14ac:dyDescent="0.3">
      <c r="A26" s="217">
        <v>4</v>
      </c>
      <c r="B26" s="215" t="s">
        <v>492</v>
      </c>
      <c r="C26" s="121" t="s">
        <v>485</v>
      </c>
      <c r="D26" s="119" t="s">
        <v>478</v>
      </c>
      <c r="E26" s="123">
        <v>1259</v>
      </c>
      <c r="F26" s="123">
        <v>1237</v>
      </c>
      <c r="G26" s="123">
        <v>1207</v>
      </c>
      <c r="H26" s="127">
        <v>123249.1</v>
      </c>
      <c r="I26" s="127">
        <v>122262.1</v>
      </c>
      <c r="J26" s="127">
        <v>122883.8</v>
      </c>
      <c r="K26" s="118"/>
    </row>
    <row r="27" spans="1:11" s="87" customFormat="1" ht="55.5" customHeight="1" x14ac:dyDescent="0.3">
      <c r="A27" s="219"/>
      <c r="B27" s="224"/>
      <c r="C27" s="121" t="s">
        <v>493</v>
      </c>
      <c r="D27" s="119" t="s">
        <v>478</v>
      </c>
      <c r="E27" s="121">
        <v>6</v>
      </c>
      <c r="F27" s="121">
        <v>7</v>
      </c>
      <c r="G27" s="121">
        <v>7</v>
      </c>
      <c r="H27" s="127">
        <v>587.4</v>
      </c>
      <c r="I27" s="127">
        <v>691.9</v>
      </c>
      <c r="J27" s="127">
        <v>712.7</v>
      </c>
      <c r="K27" s="118"/>
    </row>
    <row r="28" spans="1:11" ht="68.25" customHeight="1" x14ac:dyDescent="0.3">
      <c r="A28" s="219"/>
      <c r="B28" s="224"/>
      <c r="C28" s="121" t="s">
        <v>495</v>
      </c>
      <c r="D28" s="119" t="s">
        <v>478</v>
      </c>
      <c r="E28" s="123">
        <v>2</v>
      </c>
      <c r="F28" s="123">
        <v>2</v>
      </c>
      <c r="G28" s="123">
        <v>2</v>
      </c>
      <c r="H28" s="127">
        <v>195.8</v>
      </c>
      <c r="I28" s="127">
        <v>197.7</v>
      </c>
      <c r="J28" s="127">
        <v>203.6</v>
      </c>
      <c r="K28" s="118"/>
    </row>
    <row r="29" spans="1:11" ht="51.75" customHeight="1" x14ac:dyDescent="0.3">
      <c r="A29" s="219"/>
      <c r="B29" s="224"/>
      <c r="C29" s="121" t="s">
        <v>496</v>
      </c>
      <c r="D29" s="119" t="s">
        <v>478</v>
      </c>
      <c r="E29" s="123">
        <v>2</v>
      </c>
      <c r="F29" s="123">
        <v>3</v>
      </c>
      <c r="G29" s="123">
        <v>3</v>
      </c>
      <c r="H29" s="127">
        <v>195.8</v>
      </c>
      <c r="I29" s="127">
        <v>296.5</v>
      </c>
      <c r="J29" s="127">
        <v>305.39999999999998</v>
      </c>
      <c r="K29" s="118"/>
    </row>
    <row r="30" spans="1:11" ht="51" customHeight="1" x14ac:dyDescent="0.3">
      <c r="A30" s="219"/>
      <c r="B30" s="224"/>
      <c r="C30" s="121" t="s">
        <v>497</v>
      </c>
      <c r="D30" s="119" t="s">
        <v>478</v>
      </c>
      <c r="E30" s="123">
        <v>23</v>
      </c>
      <c r="F30" s="123">
        <v>20</v>
      </c>
      <c r="G30" s="123">
        <v>16</v>
      </c>
      <c r="H30" s="127">
        <v>2251.6</v>
      </c>
      <c r="I30" s="127">
        <v>1976.83</v>
      </c>
      <c r="J30" s="127">
        <v>1628.9</v>
      </c>
      <c r="K30" s="118"/>
    </row>
    <row r="31" spans="1:11" ht="62.25" customHeight="1" x14ac:dyDescent="0.3">
      <c r="A31" s="219"/>
      <c r="B31" s="224"/>
      <c r="C31" s="121" t="s">
        <v>488</v>
      </c>
      <c r="D31" s="119" t="s">
        <v>478</v>
      </c>
      <c r="E31" s="123">
        <v>61</v>
      </c>
      <c r="F31" s="123">
        <v>49</v>
      </c>
      <c r="G31" s="123">
        <v>35</v>
      </c>
      <c r="H31" s="127">
        <v>5971.6484300000002</v>
      </c>
      <c r="I31" s="127">
        <v>4843</v>
      </c>
      <c r="J31" s="127">
        <v>3563.3</v>
      </c>
      <c r="K31" s="118"/>
    </row>
    <row r="32" spans="1:11" ht="58.5" customHeight="1" x14ac:dyDescent="0.3">
      <c r="A32" s="218"/>
      <c r="B32" s="216"/>
      <c r="C32" s="121" t="s">
        <v>491</v>
      </c>
      <c r="D32" s="119" t="s">
        <v>478</v>
      </c>
      <c r="E32" s="123">
        <v>6</v>
      </c>
      <c r="F32" s="123">
        <v>5</v>
      </c>
      <c r="G32" s="123">
        <v>6</v>
      </c>
      <c r="H32" s="127">
        <v>587.4</v>
      </c>
      <c r="I32" s="127">
        <v>494.2</v>
      </c>
      <c r="J32" s="127">
        <v>610.9</v>
      </c>
      <c r="K32" s="118"/>
    </row>
    <row r="33" spans="1:11" ht="71.25" customHeight="1" x14ac:dyDescent="0.3">
      <c r="A33" s="217">
        <v>5</v>
      </c>
      <c r="B33" s="215" t="s">
        <v>498</v>
      </c>
      <c r="C33" s="121" t="s">
        <v>499</v>
      </c>
      <c r="D33" s="119" t="s">
        <v>478</v>
      </c>
      <c r="E33" s="123">
        <v>249</v>
      </c>
      <c r="F33" s="123">
        <v>241</v>
      </c>
      <c r="G33" s="123">
        <v>232</v>
      </c>
      <c r="H33" s="127">
        <v>24375.7</v>
      </c>
      <c r="I33" s="127">
        <v>23819.9</v>
      </c>
      <c r="J33" s="127">
        <v>23619.8</v>
      </c>
      <c r="K33" s="118"/>
    </row>
    <row r="34" spans="1:11" ht="79.5" customHeight="1" x14ac:dyDescent="0.3">
      <c r="A34" s="219"/>
      <c r="B34" s="224"/>
      <c r="C34" s="121" t="s">
        <v>500</v>
      </c>
      <c r="D34" s="119" t="s">
        <v>478</v>
      </c>
      <c r="E34" s="123">
        <v>1</v>
      </c>
      <c r="F34" s="123">
        <v>0</v>
      </c>
      <c r="G34" s="123">
        <v>0</v>
      </c>
      <c r="H34" s="127">
        <v>97.9</v>
      </c>
      <c r="I34" s="127">
        <v>0</v>
      </c>
      <c r="J34" s="127">
        <v>0</v>
      </c>
      <c r="K34" s="118"/>
    </row>
    <row r="35" spans="1:11" ht="92.25" customHeight="1" x14ac:dyDescent="0.3">
      <c r="A35" s="218"/>
      <c r="B35" s="216"/>
      <c r="C35" s="121" t="s">
        <v>501</v>
      </c>
      <c r="D35" s="119" t="s">
        <v>478</v>
      </c>
      <c r="E35" s="121">
        <v>18</v>
      </c>
      <c r="F35" s="121">
        <v>18</v>
      </c>
      <c r="G35" s="121">
        <v>18</v>
      </c>
      <c r="H35" s="127">
        <v>1762.1</v>
      </c>
      <c r="I35" s="127">
        <v>1779.1</v>
      </c>
      <c r="J35" s="127">
        <v>1832.6</v>
      </c>
      <c r="K35" s="118"/>
    </row>
    <row r="36" spans="1:11" ht="70.5" customHeight="1" x14ac:dyDescent="0.3">
      <c r="A36" s="121">
        <v>6</v>
      </c>
      <c r="B36" s="120" t="s">
        <v>502</v>
      </c>
      <c r="C36" s="121" t="s">
        <v>504</v>
      </c>
      <c r="D36" s="119" t="s">
        <v>506</v>
      </c>
      <c r="E36" s="123">
        <v>95948</v>
      </c>
      <c r="F36" s="123">
        <v>95948</v>
      </c>
      <c r="G36" s="123">
        <v>95948</v>
      </c>
      <c r="H36" s="127">
        <v>5208.3999999999996</v>
      </c>
      <c r="I36" s="127">
        <v>5208.3999999999996</v>
      </c>
      <c r="J36" s="127">
        <v>5208.3999999999996</v>
      </c>
      <c r="K36" s="118"/>
    </row>
    <row r="37" spans="1:11" ht="74.25" customHeight="1" x14ac:dyDescent="0.3">
      <c r="A37" s="121">
        <v>7</v>
      </c>
      <c r="B37" s="120" t="s">
        <v>503</v>
      </c>
      <c r="C37" s="121" t="s">
        <v>504</v>
      </c>
      <c r="D37" s="119" t="s">
        <v>506</v>
      </c>
      <c r="E37" s="123">
        <v>5320</v>
      </c>
      <c r="F37" s="123">
        <v>5320</v>
      </c>
      <c r="G37" s="123">
        <v>5320</v>
      </c>
      <c r="H37" s="127">
        <v>0</v>
      </c>
      <c r="I37" s="127">
        <v>0</v>
      </c>
      <c r="J37" s="127">
        <v>0</v>
      </c>
      <c r="K37" s="118"/>
    </row>
    <row r="38" spans="1:11" ht="78" customHeight="1" x14ac:dyDescent="0.3">
      <c r="A38" s="121">
        <v>8</v>
      </c>
      <c r="B38" s="120" t="s">
        <v>313</v>
      </c>
      <c r="C38" s="121" t="s">
        <v>504</v>
      </c>
      <c r="D38" s="119" t="s">
        <v>507</v>
      </c>
      <c r="E38" s="123">
        <v>1310</v>
      </c>
      <c r="F38" s="123">
        <v>1294</v>
      </c>
      <c r="G38" s="123">
        <v>1198</v>
      </c>
      <c r="H38" s="129">
        <v>18350.8</v>
      </c>
      <c r="I38" s="129">
        <v>18261.62</v>
      </c>
      <c r="J38" s="129">
        <v>10593.2</v>
      </c>
      <c r="K38" s="118"/>
    </row>
    <row r="39" spans="1:11" ht="54" customHeight="1" x14ac:dyDescent="0.3">
      <c r="A39" s="121">
        <v>9</v>
      </c>
      <c r="B39" s="120" t="s">
        <v>444</v>
      </c>
      <c r="C39" s="121" t="s">
        <v>511</v>
      </c>
      <c r="D39" s="119" t="s">
        <v>512</v>
      </c>
      <c r="E39" s="123">
        <v>540</v>
      </c>
      <c r="F39" s="123">
        <v>540</v>
      </c>
      <c r="G39" s="123">
        <v>540</v>
      </c>
      <c r="H39" s="127">
        <v>3371.5</v>
      </c>
      <c r="I39" s="127">
        <v>3371.54</v>
      </c>
      <c r="J39" s="127">
        <v>3371.5</v>
      </c>
      <c r="K39" s="118"/>
    </row>
    <row r="40" spans="1:11" ht="72.75" customHeight="1" x14ac:dyDescent="0.3">
      <c r="A40" s="121">
        <v>10</v>
      </c>
      <c r="B40" s="120" t="s">
        <v>508</v>
      </c>
      <c r="C40" s="121" t="s">
        <v>504</v>
      </c>
      <c r="D40" s="119" t="s">
        <v>505</v>
      </c>
      <c r="E40" s="123">
        <v>38770</v>
      </c>
      <c r="F40" s="123">
        <v>38770</v>
      </c>
      <c r="G40" s="123">
        <v>38770</v>
      </c>
      <c r="H40" s="127">
        <v>7473.8</v>
      </c>
      <c r="I40" s="127">
        <v>7300.44</v>
      </c>
      <c r="J40" s="127">
        <v>7300.4</v>
      </c>
      <c r="K40" s="118"/>
    </row>
    <row r="41" spans="1:11" ht="91.5" customHeight="1" x14ac:dyDescent="0.3">
      <c r="A41" s="121">
        <v>11</v>
      </c>
      <c r="B41" s="120" t="s">
        <v>509</v>
      </c>
      <c r="C41" s="121" t="s">
        <v>504</v>
      </c>
      <c r="D41" s="119" t="s">
        <v>505</v>
      </c>
      <c r="E41" s="123">
        <v>27554</v>
      </c>
      <c r="F41" s="123">
        <v>27554</v>
      </c>
      <c r="G41" s="123">
        <v>27554</v>
      </c>
      <c r="H41" s="129">
        <v>4188</v>
      </c>
      <c r="I41" s="129">
        <v>4188</v>
      </c>
      <c r="J41" s="129">
        <v>4188</v>
      </c>
      <c r="K41" s="118"/>
    </row>
    <row r="42" spans="1:11" ht="39" customHeight="1" x14ac:dyDescent="0.3">
      <c r="A42" s="217">
        <v>12</v>
      </c>
      <c r="B42" s="215" t="s">
        <v>510</v>
      </c>
      <c r="C42" s="217" t="s">
        <v>515</v>
      </c>
      <c r="D42" s="119" t="s">
        <v>513</v>
      </c>
      <c r="E42" s="130">
        <v>24</v>
      </c>
      <c r="F42" s="130">
        <v>24</v>
      </c>
      <c r="G42" s="130">
        <v>24</v>
      </c>
      <c r="H42" s="127">
        <v>5.7</v>
      </c>
      <c r="I42" s="127">
        <v>5.7</v>
      </c>
      <c r="J42" s="127">
        <v>5.7</v>
      </c>
      <c r="K42" s="118"/>
    </row>
    <row r="43" spans="1:11" ht="42" customHeight="1" x14ac:dyDescent="0.3">
      <c r="A43" s="218"/>
      <c r="B43" s="216"/>
      <c r="C43" s="218"/>
      <c r="D43" s="119" t="s">
        <v>514</v>
      </c>
      <c r="E43" s="130">
        <v>1700</v>
      </c>
      <c r="F43" s="130">
        <v>1700</v>
      </c>
      <c r="G43" s="130">
        <v>1700</v>
      </c>
      <c r="H43" s="127">
        <v>297</v>
      </c>
      <c r="I43" s="127">
        <v>297</v>
      </c>
      <c r="J43" s="127">
        <v>297</v>
      </c>
      <c r="K43" s="118"/>
    </row>
    <row r="44" spans="1:11" ht="45" customHeight="1" x14ac:dyDescent="0.3">
      <c r="A44" s="217">
        <v>13</v>
      </c>
      <c r="B44" s="215" t="s">
        <v>110</v>
      </c>
      <c r="C44" s="217" t="s">
        <v>515</v>
      </c>
      <c r="D44" s="119" t="s">
        <v>513</v>
      </c>
      <c r="E44" s="130">
        <v>4</v>
      </c>
      <c r="F44" s="130">
        <v>4</v>
      </c>
      <c r="G44" s="130">
        <v>4</v>
      </c>
      <c r="H44" s="127">
        <v>1</v>
      </c>
      <c r="I44" s="127">
        <v>1</v>
      </c>
      <c r="J44" s="127">
        <v>1</v>
      </c>
      <c r="K44" s="118"/>
    </row>
    <row r="45" spans="1:11" ht="64.5" customHeight="1" x14ac:dyDescent="0.3">
      <c r="A45" s="218">
        <v>14</v>
      </c>
      <c r="B45" s="216"/>
      <c r="C45" s="218"/>
      <c r="D45" s="119" t="s">
        <v>555</v>
      </c>
      <c r="E45" s="130">
        <v>5</v>
      </c>
      <c r="F45" s="130">
        <v>5</v>
      </c>
      <c r="G45" s="130">
        <v>5</v>
      </c>
      <c r="H45" s="127">
        <v>1.1000000000000001</v>
      </c>
      <c r="I45" s="127">
        <v>1.1000000000000001</v>
      </c>
      <c r="J45" s="127">
        <v>1.1000000000000001</v>
      </c>
      <c r="K45" s="118"/>
    </row>
    <row r="46" spans="1:11" s="91" customFormat="1" ht="24.95" customHeight="1" x14ac:dyDescent="0.3">
      <c r="A46" s="267" t="s">
        <v>516</v>
      </c>
      <c r="B46" s="268"/>
      <c r="C46" s="268"/>
      <c r="D46" s="268"/>
      <c r="E46" s="268"/>
      <c r="F46" s="268"/>
      <c r="G46" s="269"/>
      <c r="H46" s="271">
        <f>SUM(H47:H64)</f>
        <v>95591.2</v>
      </c>
      <c r="I46" s="271">
        <f>SUM(I47:I64)</f>
        <v>96282.5</v>
      </c>
      <c r="J46" s="271">
        <f>SUM(J47:J64)+10</f>
        <v>96232.5</v>
      </c>
    </row>
    <row r="47" spans="1:11" s="88" customFormat="1" ht="55.5" customHeight="1" x14ac:dyDescent="0.3">
      <c r="A47" s="225">
        <v>1</v>
      </c>
      <c r="B47" s="215" t="s">
        <v>517</v>
      </c>
      <c r="C47" s="121" t="s">
        <v>518</v>
      </c>
      <c r="D47" s="119" t="s">
        <v>519</v>
      </c>
      <c r="E47" s="123" t="s">
        <v>657</v>
      </c>
      <c r="F47" s="123" t="s">
        <v>658</v>
      </c>
      <c r="G47" s="123" t="s">
        <v>658</v>
      </c>
      <c r="H47" s="126">
        <v>7134.7</v>
      </c>
      <c r="I47" s="126">
        <v>7134.7</v>
      </c>
      <c r="J47" s="126">
        <v>7134.7</v>
      </c>
    </row>
    <row r="48" spans="1:11" s="88" customFormat="1" ht="39.75" customHeight="1" x14ac:dyDescent="0.3">
      <c r="A48" s="226"/>
      <c r="B48" s="224"/>
      <c r="C48" s="121" t="s">
        <v>520</v>
      </c>
      <c r="D48" s="119" t="s">
        <v>519</v>
      </c>
      <c r="E48" s="123" t="s">
        <v>659</v>
      </c>
      <c r="F48" s="123" t="s">
        <v>659</v>
      </c>
      <c r="G48" s="123" t="s">
        <v>660</v>
      </c>
      <c r="H48" s="126">
        <v>1261.9000000000001</v>
      </c>
      <c r="I48" s="126">
        <v>1261.9000000000001</v>
      </c>
      <c r="J48" s="126">
        <v>1261.9000000000001</v>
      </c>
    </row>
    <row r="49" spans="1:10" s="88" customFormat="1" ht="53.25" customHeight="1" x14ac:dyDescent="0.3">
      <c r="A49" s="226"/>
      <c r="B49" s="224"/>
      <c r="C49" s="121" t="s">
        <v>521</v>
      </c>
      <c r="D49" s="119" t="s">
        <v>519</v>
      </c>
      <c r="E49" s="123" t="s">
        <v>525</v>
      </c>
      <c r="F49" s="123" t="s">
        <v>661</v>
      </c>
      <c r="G49" s="123" t="s">
        <v>662</v>
      </c>
      <c r="H49" s="127">
        <v>1892.8</v>
      </c>
      <c r="I49" s="127">
        <v>1892.8</v>
      </c>
      <c r="J49" s="127">
        <v>1892.8</v>
      </c>
    </row>
    <row r="50" spans="1:10" s="88" customFormat="1" ht="54.75" customHeight="1" x14ac:dyDescent="0.3">
      <c r="A50" s="226"/>
      <c r="B50" s="224"/>
      <c r="C50" s="121" t="s">
        <v>522</v>
      </c>
      <c r="D50" s="119" t="s">
        <v>519</v>
      </c>
      <c r="E50" s="128" t="s">
        <v>526</v>
      </c>
      <c r="F50" s="128" t="s">
        <v>526</v>
      </c>
      <c r="G50" s="128" t="s">
        <v>663</v>
      </c>
      <c r="H50" s="126">
        <v>1724.6</v>
      </c>
      <c r="I50" s="126">
        <v>1724.6</v>
      </c>
      <c r="J50" s="126">
        <v>1724.6</v>
      </c>
    </row>
    <row r="51" spans="1:10" s="88" customFormat="1" ht="57" customHeight="1" x14ac:dyDescent="0.3">
      <c r="A51" s="226"/>
      <c r="B51" s="224"/>
      <c r="C51" s="121" t="s">
        <v>523</v>
      </c>
      <c r="D51" s="119" t="s">
        <v>519</v>
      </c>
      <c r="E51" s="128" t="s">
        <v>664</v>
      </c>
      <c r="F51" s="128" t="s">
        <v>664</v>
      </c>
      <c r="G51" s="128" t="s">
        <v>664</v>
      </c>
      <c r="H51" s="126">
        <v>4823.3</v>
      </c>
      <c r="I51" s="126">
        <v>4823.3</v>
      </c>
      <c r="J51" s="126">
        <v>4823.3</v>
      </c>
    </row>
    <row r="52" spans="1:10" s="88" customFormat="1" ht="57" customHeight="1" x14ac:dyDescent="0.3">
      <c r="A52" s="227"/>
      <c r="B52" s="216"/>
      <c r="C52" s="121" t="s">
        <v>527</v>
      </c>
      <c r="D52" s="119" t="s">
        <v>519</v>
      </c>
      <c r="E52" s="128" t="s">
        <v>651</v>
      </c>
      <c r="F52" s="128" t="s">
        <v>652</v>
      </c>
      <c r="G52" s="128" t="s">
        <v>653</v>
      </c>
      <c r="H52" s="126">
        <v>9864</v>
      </c>
      <c r="I52" s="126">
        <v>9864</v>
      </c>
      <c r="J52" s="126">
        <v>9864</v>
      </c>
    </row>
    <row r="53" spans="1:10" s="88" customFormat="1" ht="75.75" customHeight="1" x14ac:dyDescent="0.3">
      <c r="A53" s="217">
        <v>2</v>
      </c>
      <c r="B53" s="215" t="s">
        <v>524</v>
      </c>
      <c r="C53" s="121" t="s">
        <v>529</v>
      </c>
      <c r="D53" s="119" t="s">
        <v>519</v>
      </c>
      <c r="E53" s="128" t="s">
        <v>665</v>
      </c>
      <c r="F53" s="128" t="s">
        <v>665</v>
      </c>
      <c r="G53" s="128" t="s">
        <v>665</v>
      </c>
      <c r="H53" s="127">
        <v>1634.5</v>
      </c>
      <c r="I53" s="127">
        <v>1634.5</v>
      </c>
      <c r="J53" s="127">
        <v>1634.5</v>
      </c>
    </row>
    <row r="54" spans="1:10" s="88" customFormat="1" ht="69.75" customHeight="1" x14ac:dyDescent="0.3">
      <c r="A54" s="218"/>
      <c r="B54" s="216"/>
      <c r="C54" s="121" t="s">
        <v>528</v>
      </c>
      <c r="D54" s="119" t="s">
        <v>519</v>
      </c>
      <c r="E54" s="121" t="s">
        <v>654</v>
      </c>
      <c r="F54" s="121" t="s">
        <v>655</v>
      </c>
      <c r="G54" s="121" t="s">
        <v>656</v>
      </c>
      <c r="H54" s="127">
        <v>3683.7</v>
      </c>
      <c r="I54" s="127">
        <v>3683.7</v>
      </c>
      <c r="J54" s="127">
        <v>3673.7</v>
      </c>
    </row>
    <row r="55" spans="1:10" s="88" customFormat="1" ht="39.75" customHeight="1" x14ac:dyDescent="0.3">
      <c r="A55" s="223">
        <v>3</v>
      </c>
      <c r="B55" s="215" t="s">
        <v>212</v>
      </c>
      <c r="C55" s="120" t="s">
        <v>530</v>
      </c>
      <c r="D55" s="119" t="s">
        <v>537</v>
      </c>
      <c r="E55" s="123">
        <v>3300</v>
      </c>
      <c r="F55" s="123">
        <v>3600</v>
      </c>
      <c r="G55" s="123">
        <v>3700</v>
      </c>
      <c r="H55" s="127">
        <v>2376.8000000000002</v>
      </c>
      <c r="I55" s="127">
        <v>2417.3000000000002</v>
      </c>
      <c r="J55" s="127">
        <v>2417.3000000000002</v>
      </c>
    </row>
    <row r="56" spans="1:10" s="88" customFormat="1" ht="36" customHeight="1" x14ac:dyDescent="0.3">
      <c r="A56" s="223"/>
      <c r="B56" s="216"/>
      <c r="C56" s="120" t="s">
        <v>531</v>
      </c>
      <c r="D56" s="119" t="s">
        <v>536</v>
      </c>
      <c r="E56" s="123">
        <v>10</v>
      </c>
      <c r="F56" s="123">
        <v>10</v>
      </c>
      <c r="G56" s="123">
        <v>10</v>
      </c>
      <c r="H56" s="127">
        <v>2376.6999999999998</v>
      </c>
      <c r="I56" s="127">
        <v>2417.3000000000002</v>
      </c>
      <c r="J56" s="127">
        <v>2417.3000000000002</v>
      </c>
    </row>
    <row r="57" spans="1:10" s="88" customFormat="1" ht="59.25" customHeight="1" x14ac:dyDescent="0.3">
      <c r="A57" s="121">
        <v>4</v>
      </c>
      <c r="B57" s="120" t="s">
        <v>227</v>
      </c>
      <c r="C57" s="121"/>
      <c r="D57" s="119" t="s">
        <v>535</v>
      </c>
      <c r="E57" s="123">
        <v>100</v>
      </c>
      <c r="F57" s="123">
        <v>110</v>
      </c>
      <c r="G57" s="123">
        <v>120</v>
      </c>
      <c r="H57" s="127">
        <v>4753.5</v>
      </c>
      <c r="I57" s="127">
        <v>4834.6000000000004</v>
      </c>
      <c r="J57" s="127">
        <v>4834.6000000000004</v>
      </c>
    </row>
    <row r="58" spans="1:10" s="88" customFormat="1" ht="64.5" customHeight="1" x14ac:dyDescent="0.3">
      <c r="A58" s="121">
        <v>5</v>
      </c>
      <c r="B58" s="120" t="s">
        <v>532</v>
      </c>
      <c r="C58" s="120" t="s">
        <v>533</v>
      </c>
      <c r="D58" s="119" t="s">
        <v>534</v>
      </c>
      <c r="E58" s="123">
        <v>75000</v>
      </c>
      <c r="F58" s="123">
        <v>75100</v>
      </c>
      <c r="G58" s="123">
        <v>75200</v>
      </c>
      <c r="H58" s="127">
        <v>12037.5</v>
      </c>
      <c r="I58" s="127">
        <v>12157.7</v>
      </c>
      <c r="J58" s="127">
        <v>12132.7</v>
      </c>
    </row>
    <row r="59" spans="1:10" s="88" customFormat="1" ht="77.25" customHeight="1" x14ac:dyDescent="0.3">
      <c r="A59" s="121">
        <v>6</v>
      </c>
      <c r="B59" s="122" t="s">
        <v>648</v>
      </c>
      <c r="C59" s="122" t="s">
        <v>648</v>
      </c>
      <c r="D59" s="119" t="s">
        <v>649</v>
      </c>
      <c r="E59" s="123">
        <v>99100</v>
      </c>
      <c r="F59" s="123">
        <v>99100</v>
      </c>
      <c r="G59" s="123">
        <v>99100</v>
      </c>
      <c r="H59" s="127">
        <v>6635.4</v>
      </c>
      <c r="I59" s="127">
        <v>6701.7</v>
      </c>
      <c r="J59" s="127">
        <v>6687.9</v>
      </c>
    </row>
    <row r="60" spans="1:10" s="88" customFormat="1" ht="57.75" customHeight="1" x14ac:dyDescent="0.3">
      <c r="A60" s="121">
        <v>7</v>
      </c>
      <c r="B60" s="122" t="s">
        <v>222</v>
      </c>
      <c r="C60" s="122" t="s">
        <v>222</v>
      </c>
      <c r="D60" s="119" t="s">
        <v>649</v>
      </c>
      <c r="E60" s="123">
        <v>80670</v>
      </c>
      <c r="F60" s="123">
        <v>81270</v>
      </c>
      <c r="G60" s="123">
        <v>81870</v>
      </c>
      <c r="H60" s="127">
        <v>5401.4</v>
      </c>
      <c r="I60" s="127">
        <v>5455.3</v>
      </c>
      <c r="J60" s="127">
        <v>5444.1</v>
      </c>
    </row>
    <row r="61" spans="1:10" s="88" customFormat="1" ht="78.75" customHeight="1" x14ac:dyDescent="0.3">
      <c r="A61" s="121">
        <v>8</v>
      </c>
      <c r="B61" s="122" t="s">
        <v>538</v>
      </c>
      <c r="C61" s="120" t="s">
        <v>539</v>
      </c>
      <c r="D61" s="119" t="s">
        <v>560</v>
      </c>
      <c r="E61" s="123">
        <v>5000</v>
      </c>
      <c r="F61" s="123">
        <v>5000</v>
      </c>
      <c r="G61" s="123">
        <v>5000</v>
      </c>
      <c r="H61" s="127">
        <v>13345.7</v>
      </c>
      <c r="I61" s="127">
        <v>13474.2</v>
      </c>
      <c r="J61" s="127">
        <v>13474.2</v>
      </c>
    </row>
    <row r="62" spans="1:10" s="88" customFormat="1" ht="63" customHeight="1" x14ac:dyDescent="0.3">
      <c r="A62" s="121">
        <v>9</v>
      </c>
      <c r="B62" s="122" t="s">
        <v>104</v>
      </c>
      <c r="C62" s="120" t="s">
        <v>540</v>
      </c>
      <c r="D62" s="119" t="s">
        <v>562</v>
      </c>
      <c r="E62" s="123">
        <v>218</v>
      </c>
      <c r="F62" s="123">
        <v>218</v>
      </c>
      <c r="G62" s="123">
        <v>218</v>
      </c>
      <c r="H62" s="127">
        <v>581.9</v>
      </c>
      <c r="I62" s="127">
        <v>587.5</v>
      </c>
      <c r="J62" s="127">
        <v>587.5</v>
      </c>
    </row>
    <row r="63" spans="1:10" s="88" customFormat="1" ht="30.75" customHeight="1" x14ac:dyDescent="0.3">
      <c r="A63" s="121">
        <v>10</v>
      </c>
      <c r="B63" s="122" t="s">
        <v>233</v>
      </c>
      <c r="C63" s="120" t="s">
        <v>542</v>
      </c>
      <c r="D63" s="119" t="s">
        <v>561</v>
      </c>
      <c r="E63" s="123">
        <v>400</v>
      </c>
      <c r="F63" s="123">
        <v>400</v>
      </c>
      <c r="G63" s="123">
        <v>400</v>
      </c>
      <c r="H63" s="127">
        <v>1067.5999999999999</v>
      </c>
      <c r="I63" s="127">
        <v>1077.9000000000001</v>
      </c>
      <c r="J63" s="127">
        <v>1077.9000000000001</v>
      </c>
    </row>
    <row r="64" spans="1:10" s="88" customFormat="1" ht="50.25" customHeight="1" x14ac:dyDescent="0.3">
      <c r="A64" s="121">
        <v>11</v>
      </c>
      <c r="B64" s="122" t="s">
        <v>541</v>
      </c>
      <c r="C64" s="121"/>
      <c r="D64" s="119" t="s">
        <v>560</v>
      </c>
      <c r="E64" s="123">
        <v>61340</v>
      </c>
      <c r="F64" s="123">
        <v>70090</v>
      </c>
      <c r="G64" s="123">
        <v>78871</v>
      </c>
      <c r="H64" s="127">
        <v>14995.2</v>
      </c>
      <c r="I64" s="127">
        <v>15139.5</v>
      </c>
      <c r="J64" s="127">
        <v>15139.5</v>
      </c>
    </row>
    <row r="65" spans="1:10" s="92" customFormat="1" ht="24.95" customHeight="1" x14ac:dyDescent="0.25">
      <c r="A65" s="272" t="s">
        <v>543</v>
      </c>
      <c r="B65" s="272"/>
      <c r="C65" s="272"/>
      <c r="D65" s="272"/>
      <c r="E65" s="272"/>
      <c r="F65" s="272"/>
      <c r="G65" s="272"/>
      <c r="H65" s="273">
        <f>SUM(H66:H87)</f>
        <v>63098.200000000004</v>
      </c>
      <c r="I65" s="273">
        <f>SUM(I66:I87)</f>
        <v>64997.599999999991</v>
      </c>
      <c r="J65" s="273">
        <f>SUM(J66:J87)</f>
        <v>66483.5</v>
      </c>
    </row>
    <row r="66" spans="1:10" ht="37.5" customHeight="1" x14ac:dyDescent="0.3">
      <c r="A66" s="121">
        <v>1</v>
      </c>
      <c r="B66" s="120" t="s">
        <v>544</v>
      </c>
      <c r="C66" s="121" t="s">
        <v>676</v>
      </c>
      <c r="D66" s="119" t="s">
        <v>558</v>
      </c>
      <c r="E66" s="123">
        <v>1</v>
      </c>
      <c r="F66" s="123">
        <v>1</v>
      </c>
      <c r="G66" s="123">
        <v>1</v>
      </c>
      <c r="H66" s="220">
        <v>48841.3</v>
      </c>
      <c r="I66" s="220">
        <v>50677.1</v>
      </c>
      <c r="J66" s="220">
        <v>51854.3</v>
      </c>
    </row>
    <row r="67" spans="1:10" ht="37.5" customHeight="1" x14ac:dyDescent="0.3">
      <c r="A67" s="121">
        <v>3</v>
      </c>
      <c r="B67" s="120" t="s">
        <v>293</v>
      </c>
      <c r="C67" s="121" t="s">
        <v>556</v>
      </c>
      <c r="D67" s="119" t="s">
        <v>558</v>
      </c>
      <c r="E67" s="123">
        <v>20</v>
      </c>
      <c r="F67" s="123">
        <v>20</v>
      </c>
      <c r="G67" s="123">
        <v>20</v>
      </c>
      <c r="H67" s="221"/>
      <c r="I67" s="221"/>
      <c r="J67" s="221"/>
    </row>
    <row r="68" spans="1:10" ht="55.5" customHeight="1" x14ac:dyDescent="0.3">
      <c r="A68" s="217">
        <v>5</v>
      </c>
      <c r="B68" s="215" t="s">
        <v>675</v>
      </c>
      <c r="C68" s="121" t="s">
        <v>681</v>
      </c>
      <c r="D68" s="119" t="s">
        <v>678</v>
      </c>
      <c r="E68" s="123">
        <v>4</v>
      </c>
      <c r="F68" s="123">
        <v>4</v>
      </c>
      <c r="G68" s="123">
        <v>4</v>
      </c>
      <c r="H68" s="221"/>
      <c r="I68" s="221"/>
      <c r="J68" s="221"/>
    </row>
    <row r="69" spans="1:10" ht="55.5" customHeight="1" x14ac:dyDescent="0.3">
      <c r="A69" s="218"/>
      <c r="B69" s="216"/>
      <c r="C69" s="121" t="s">
        <v>680</v>
      </c>
      <c r="D69" s="119" t="s">
        <v>678</v>
      </c>
      <c r="E69" s="123">
        <v>2</v>
      </c>
      <c r="F69" s="123">
        <v>2</v>
      </c>
      <c r="G69" s="123">
        <v>2</v>
      </c>
      <c r="H69" s="221"/>
      <c r="I69" s="221"/>
      <c r="J69" s="221"/>
    </row>
    <row r="70" spans="1:10" ht="44.25" customHeight="1" x14ac:dyDescent="0.3">
      <c r="A70" s="121">
        <v>6</v>
      </c>
      <c r="B70" s="120" t="s">
        <v>298</v>
      </c>
      <c r="C70" s="121"/>
      <c r="D70" s="119" t="s">
        <v>678</v>
      </c>
      <c r="E70" s="123">
        <v>4</v>
      </c>
      <c r="F70" s="123">
        <v>4</v>
      </c>
      <c r="G70" s="123">
        <v>4</v>
      </c>
      <c r="H70" s="221"/>
      <c r="I70" s="221"/>
      <c r="J70" s="221"/>
    </row>
    <row r="71" spans="1:10" ht="48.75" customHeight="1" x14ac:dyDescent="0.3">
      <c r="A71" s="121">
        <v>7</v>
      </c>
      <c r="B71" s="120" t="s">
        <v>679</v>
      </c>
      <c r="C71" s="121"/>
      <c r="D71" s="119" t="s">
        <v>559</v>
      </c>
      <c r="E71" s="123">
        <v>1192</v>
      </c>
      <c r="F71" s="123">
        <v>1192</v>
      </c>
      <c r="G71" s="123">
        <v>1192</v>
      </c>
      <c r="H71" s="221"/>
      <c r="I71" s="221"/>
      <c r="J71" s="221"/>
    </row>
    <row r="72" spans="1:10" ht="25.5" customHeight="1" x14ac:dyDescent="0.3">
      <c r="A72" s="217">
        <v>6</v>
      </c>
      <c r="B72" s="215" t="s">
        <v>287</v>
      </c>
      <c r="C72" s="121" t="s">
        <v>683</v>
      </c>
      <c r="D72" s="274" t="s">
        <v>682</v>
      </c>
      <c r="E72" s="124">
        <v>3</v>
      </c>
      <c r="F72" s="124">
        <v>3</v>
      </c>
      <c r="G72" s="124">
        <v>3</v>
      </c>
      <c r="H72" s="221"/>
      <c r="I72" s="221"/>
      <c r="J72" s="221"/>
    </row>
    <row r="73" spans="1:10" ht="25.5" customHeight="1" x14ac:dyDescent="0.3">
      <c r="A73" s="218"/>
      <c r="B73" s="216"/>
      <c r="C73" s="121" t="s">
        <v>680</v>
      </c>
      <c r="D73" s="275"/>
      <c r="E73" s="124">
        <v>1</v>
      </c>
      <c r="F73" s="124">
        <v>1</v>
      </c>
      <c r="G73" s="124">
        <v>1</v>
      </c>
      <c r="H73" s="221"/>
      <c r="I73" s="221"/>
      <c r="J73" s="221"/>
    </row>
    <row r="74" spans="1:10" ht="55.5" customHeight="1" x14ac:dyDescent="0.3">
      <c r="A74" s="121">
        <v>7</v>
      </c>
      <c r="B74" s="120" t="s">
        <v>293</v>
      </c>
      <c r="C74" s="121" t="s">
        <v>674</v>
      </c>
      <c r="D74" s="119" t="s">
        <v>678</v>
      </c>
      <c r="E74" s="121">
        <v>20</v>
      </c>
      <c r="F74" s="121">
        <v>20</v>
      </c>
      <c r="G74" s="121">
        <v>20</v>
      </c>
      <c r="H74" s="222"/>
      <c r="I74" s="222"/>
      <c r="J74" s="222"/>
    </row>
    <row r="75" spans="1:10" ht="30.75" customHeight="1" x14ac:dyDescent="0.3">
      <c r="A75" s="217">
        <v>8</v>
      </c>
      <c r="B75" s="217" t="s">
        <v>436</v>
      </c>
      <c r="C75" s="120" t="s">
        <v>545</v>
      </c>
      <c r="D75" s="274" t="s">
        <v>548</v>
      </c>
      <c r="E75" s="121">
        <v>31</v>
      </c>
      <c r="F75" s="121">
        <v>35</v>
      </c>
      <c r="G75" s="121">
        <v>38</v>
      </c>
      <c r="H75" s="220">
        <v>7004.8</v>
      </c>
      <c r="I75" s="220">
        <v>7041.6</v>
      </c>
      <c r="J75" s="220">
        <v>7944.1</v>
      </c>
    </row>
    <row r="76" spans="1:10" ht="30.75" customHeight="1" x14ac:dyDescent="0.3">
      <c r="A76" s="219"/>
      <c r="B76" s="219"/>
      <c r="C76" s="120" t="s">
        <v>666</v>
      </c>
      <c r="D76" s="276"/>
      <c r="E76" s="121">
        <v>33</v>
      </c>
      <c r="F76" s="121">
        <v>33</v>
      </c>
      <c r="G76" s="121">
        <v>35</v>
      </c>
      <c r="H76" s="221"/>
      <c r="I76" s="221"/>
      <c r="J76" s="221"/>
    </row>
    <row r="77" spans="1:10" ht="30.75" customHeight="1" x14ac:dyDescent="0.3">
      <c r="A77" s="219"/>
      <c r="B77" s="219"/>
      <c r="C77" s="120" t="s">
        <v>546</v>
      </c>
      <c r="D77" s="276"/>
      <c r="E77" s="121">
        <v>23</v>
      </c>
      <c r="F77" s="121">
        <v>26</v>
      </c>
      <c r="G77" s="121">
        <v>26</v>
      </c>
      <c r="H77" s="221"/>
      <c r="I77" s="221"/>
      <c r="J77" s="221"/>
    </row>
    <row r="78" spans="1:10" ht="36" customHeight="1" x14ac:dyDescent="0.3">
      <c r="A78" s="219"/>
      <c r="B78" s="219"/>
      <c r="C78" s="120" t="s">
        <v>670</v>
      </c>
      <c r="D78" s="276"/>
      <c r="E78" s="123">
        <v>9</v>
      </c>
      <c r="F78" s="123">
        <v>15</v>
      </c>
      <c r="G78" s="123">
        <v>13</v>
      </c>
      <c r="H78" s="221"/>
      <c r="I78" s="221"/>
      <c r="J78" s="221"/>
    </row>
    <row r="79" spans="1:10" ht="30.75" customHeight="1" x14ac:dyDescent="0.3">
      <c r="A79" s="219"/>
      <c r="B79" s="219"/>
      <c r="C79" s="120" t="s">
        <v>547</v>
      </c>
      <c r="D79" s="276"/>
      <c r="E79" s="123">
        <v>16</v>
      </c>
      <c r="F79" s="123">
        <v>15</v>
      </c>
      <c r="G79" s="123">
        <v>15</v>
      </c>
      <c r="H79" s="221"/>
      <c r="I79" s="221"/>
      <c r="J79" s="221"/>
    </row>
    <row r="80" spans="1:10" ht="30.75" customHeight="1" x14ac:dyDescent="0.3">
      <c r="A80" s="219"/>
      <c r="B80" s="219"/>
      <c r="C80" s="120" t="s">
        <v>671</v>
      </c>
      <c r="D80" s="276"/>
      <c r="E80" s="121">
        <v>28</v>
      </c>
      <c r="F80" s="121">
        <v>30</v>
      </c>
      <c r="G80" s="121">
        <v>30</v>
      </c>
      <c r="H80" s="221"/>
      <c r="I80" s="221"/>
      <c r="J80" s="221"/>
    </row>
    <row r="81" spans="1:10" ht="30.75" customHeight="1" x14ac:dyDescent="0.3">
      <c r="A81" s="219"/>
      <c r="B81" s="219"/>
      <c r="C81" s="120" t="s">
        <v>672</v>
      </c>
      <c r="D81" s="276"/>
      <c r="E81" s="121">
        <v>8</v>
      </c>
      <c r="F81" s="121">
        <v>10</v>
      </c>
      <c r="G81" s="121">
        <v>12</v>
      </c>
      <c r="H81" s="221"/>
      <c r="I81" s="221"/>
      <c r="J81" s="221"/>
    </row>
    <row r="82" spans="1:10" ht="30.75" customHeight="1" x14ac:dyDescent="0.3">
      <c r="A82" s="218"/>
      <c r="B82" s="218"/>
      <c r="C82" s="120" t="s">
        <v>673</v>
      </c>
      <c r="D82" s="275"/>
      <c r="E82" s="121">
        <v>22</v>
      </c>
      <c r="F82" s="121">
        <v>14</v>
      </c>
      <c r="G82" s="121">
        <v>14</v>
      </c>
      <c r="H82" s="222"/>
      <c r="I82" s="222"/>
      <c r="J82" s="222"/>
    </row>
    <row r="83" spans="1:10" ht="39" customHeight="1" x14ac:dyDescent="0.3">
      <c r="A83" s="223">
        <v>9</v>
      </c>
      <c r="B83" s="228" t="s">
        <v>667</v>
      </c>
      <c r="C83" s="120" t="s">
        <v>668</v>
      </c>
      <c r="D83" s="277" t="s">
        <v>548</v>
      </c>
      <c r="E83" s="121">
        <v>25</v>
      </c>
      <c r="F83" s="121">
        <v>30</v>
      </c>
      <c r="G83" s="121">
        <v>30</v>
      </c>
      <c r="H83" s="220">
        <v>3996.9</v>
      </c>
      <c r="I83" s="220">
        <v>4114.2</v>
      </c>
      <c r="J83" s="220">
        <v>4080.5</v>
      </c>
    </row>
    <row r="84" spans="1:10" ht="39" customHeight="1" x14ac:dyDescent="0.3">
      <c r="A84" s="223"/>
      <c r="B84" s="228"/>
      <c r="C84" s="120" t="s">
        <v>549</v>
      </c>
      <c r="D84" s="277"/>
      <c r="E84" s="121">
        <v>10</v>
      </c>
      <c r="F84" s="121">
        <v>9</v>
      </c>
      <c r="G84" s="121">
        <v>9</v>
      </c>
      <c r="H84" s="221"/>
      <c r="I84" s="221"/>
      <c r="J84" s="221"/>
    </row>
    <row r="85" spans="1:10" ht="39" customHeight="1" x14ac:dyDescent="0.3">
      <c r="A85" s="223"/>
      <c r="B85" s="228"/>
      <c r="C85" s="120" t="s">
        <v>550</v>
      </c>
      <c r="D85" s="277"/>
      <c r="E85" s="121">
        <v>11</v>
      </c>
      <c r="F85" s="121">
        <v>15</v>
      </c>
      <c r="G85" s="121">
        <v>10</v>
      </c>
      <c r="H85" s="221"/>
      <c r="I85" s="221"/>
      <c r="J85" s="221"/>
    </row>
    <row r="86" spans="1:10" ht="39" customHeight="1" x14ac:dyDescent="0.3">
      <c r="A86" s="223"/>
      <c r="B86" s="228"/>
      <c r="C86" s="120" t="s">
        <v>669</v>
      </c>
      <c r="D86" s="277"/>
      <c r="E86" s="121">
        <v>51</v>
      </c>
      <c r="F86" s="121">
        <v>50</v>
      </c>
      <c r="G86" s="121">
        <v>45</v>
      </c>
      <c r="H86" s="222"/>
      <c r="I86" s="222"/>
      <c r="J86" s="222"/>
    </row>
    <row r="87" spans="1:10" ht="43.5" customHeight="1" x14ac:dyDescent="0.3">
      <c r="A87" s="121">
        <v>10</v>
      </c>
      <c r="B87" s="120" t="s">
        <v>551</v>
      </c>
      <c r="C87" s="121"/>
      <c r="D87" s="119" t="s">
        <v>677</v>
      </c>
      <c r="E87" s="121">
        <v>79</v>
      </c>
      <c r="F87" s="121">
        <v>80</v>
      </c>
      <c r="G87" s="121">
        <v>60</v>
      </c>
      <c r="H87" s="125">
        <v>3255.2</v>
      </c>
      <c r="I87" s="125">
        <v>3164.7</v>
      </c>
      <c r="J87" s="125">
        <v>2604.6</v>
      </c>
    </row>
    <row r="88" spans="1:10" s="89" customFormat="1" ht="24.95" customHeight="1" x14ac:dyDescent="0.3">
      <c r="A88" s="267" t="s">
        <v>552</v>
      </c>
      <c r="B88" s="268"/>
      <c r="C88" s="268"/>
      <c r="D88" s="268"/>
      <c r="E88" s="268"/>
      <c r="F88" s="268"/>
      <c r="G88" s="269"/>
      <c r="H88" s="278">
        <f>H89</f>
        <v>8182.2</v>
      </c>
      <c r="I88" s="278">
        <f t="shared" ref="I88:J88" si="0">I89</f>
        <v>8270.7000000000007</v>
      </c>
      <c r="J88" s="278">
        <f t="shared" si="0"/>
        <v>8270.7000000000007</v>
      </c>
    </row>
    <row r="89" spans="1:10" ht="36.75" customHeight="1" x14ac:dyDescent="0.3">
      <c r="A89" s="223">
        <v>1</v>
      </c>
      <c r="B89" s="228" t="s">
        <v>553</v>
      </c>
      <c r="C89" s="120" t="s">
        <v>553</v>
      </c>
      <c r="D89" s="119" t="s">
        <v>89</v>
      </c>
      <c r="E89" s="121">
        <v>74</v>
      </c>
      <c r="F89" s="121">
        <v>74</v>
      </c>
      <c r="G89" s="121">
        <v>74</v>
      </c>
      <c r="H89" s="220">
        <v>8182.2</v>
      </c>
      <c r="I89" s="220">
        <v>8270.7000000000007</v>
      </c>
      <c r="J89" s="220">
        <v>8270.7000000000007</v>
      </c>
    </row>
    <row r="90" spans="1:10" ht="36.75" customHeight="1" x14ac:dyDescent="0.3">
      <c r="A90" s="223"/>
      <c r="B90" s="228"/>
      <c r="C90" s="120" t="s">
        <v>554</v>
      </c>
      <c r="D90" s="119" t="s">
        <v>89</v>
      </c>
      <c r="E90" s="121">
        <v>25</v>
      </c>
      <c r="F90" s="121">
        <v>25</v>
      </c>
      <c r="G90" s="121">
        <v>25</v>
      </c>
      <c r="H90" s="222"/>
      <c r="I90" s="222"/>
      <c r="J90" s="222"/>
    </row>
    <row r="91" spans="1:10" ht="24.95" customHeight="1" x14ac:dyDescent="0.3">
      <c r="A91" s="279" t="s">
        <v>39</v>
      </c>
      <c r="B91" s="280"/>
      <c r="C91" s="280"/>
      <c r="D91" s="280"/>
      <c r="E91" s="280"/>
      <c r="F91" s="280"/>
      <c r="G91" s="281"/>
      <c r="H91" s="282">
        <f>H88+H65+H46+H9</f>
        <v>633469.24843000004</v>
      </c>
      <c r="I91" s="282">
        <f>I88+I65+I46+I9</f>
        <v>616307.03</v>
      </c>
      <c r="J91" s="282">
        <f>J88+J65+J46+J9</f>
        <v>605646.50000000012</v>
      </c>
    </row>
  </sheetData>
  <autoFilter ref="A8:J91"/>
  <mergeCells count="60">
    <mergeCell ref="B89:B90"/>
    <mergeCell ref="A89:A90"/>
    <mergeCell ref="H89:H90"/>
    <mergeCell ref="I89:I90"/>
    <mergeCell ref="J89:J90"/>
    <mergeCell ref="D83:D86"/>
    <mergeCell ref="B83:B86"/>
    <mergeCell ref="A83:A86"/>
    <mergeCell ref="H83:H86"/>
    <mergeCell ref="I83:I86"/>
    <mergeCell ref="J83:J86"/>
    <mergeCell ref="H66:H74"/>
    <mergeCell ref="I66:I74"/>
    <mergeCell ref="J66:J74"/>
    <mergeCell ref="J75:J82"/>
    <mergeCell ref="C42:C43"/>
    <mergeCell ref="C44:C45"/>
    <mergeCell ref="A42:A43"/>
    <mergeCell ref="B42:B43"/>
    <mergeCell ref="A44:A45"/>
    <mergeCell ref="B44:B45"/>
    <mergeCell ref="A91:G91"/>
    <mergeCell ref="C6:C7"/>
    <mergeCell ref="B10:B13"/>
    <mergeCell ref="A10:A13"/>
    <mergeCell ref="B14:B18"/>
    <mergeCell ref="A14:A18"/>
    <mergeCell ref="B19:B25"/>
    <mergeCell ref="A19:A25"/>
    <mergeCell ref="B26:B32"/>
    <mergeCell ref="A26:A32"/>
    <mergeCell ref="A88:G88"/>
    <mergeCell ref="A46:G46"/>
    <mergeCell ref="B47:B52"/>
    <mergeCell ref="A47:A52"/>
    <mergeCell ref="B33:B35"/>
    <mergeCell ref="A33:A35"/>
    <mergeCell ref="A65:G65"/>
    <mergeCell ref="B53:B54"/>
    <mergeCell ref="A53:A54"/>
    <mergeCell ref="A55:A56"/>
    <mergeCell ref="B55:B56"/>
    <mergeCell ref="A9:G9"/>
    <mergeCell ref="I2:J2"/>
    <mergeCell ref="A4:J4"/>
    <mergeCell ref="A6:A7"/>
    <mergeCell ref="B6:B7"/>
    <mergeCell ref="D6:D7"/>
    <mergeCell ref="E6:G6"/>
    <mergeCell ref="H6:J6"/>
    <mergeCell ref="B75:B82"/>
    <mergeCell ref="A75:A82"/>
    <mergeCell ref="D75:D82"/>
    <mergeCell ref="H75:H82"/>
    <mergeCell ref="I75:I82"/>
    <mergeCell ref="D72:D73"/>
    <mergeCell ref="B68:B69"/>
    <mergeCell ref="A68:A69"/>
    <mergeCell ref="B72:B73"/>
    <mergeCell ref="A72:A73"/>
  </mergeCells>
  <pageMargins left="0.39370078740157483" right="0.39370078740157483" top="0.59055118110236227" bottom="0.39370078740157483" header="0.31496062992125984" footer="0.31496062992125984"/>
  <pageSetup paperSize="9" scale="53" firstPageNumber="1520" fitToHeight="0" orientation="landscape" useFirstPageNumber="1" r:id="rId1"/>
  <rowBreaks count="4" manualBreakCount="4">
    <brk id="21" min="1" max="9" man="1"/>
    <brk id="35" min="1" max="9" man="1"/>
    <brk id="51" min="1" max="9" man="1"/>
    <brk id="67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8"/>
  <sheetViews>
    <sheetView workbookViewId="0">
      <selection activeCell="J2" sqref="J2:L2"/>
    </sheetView>
  </sheetViews>
  <sheetFormatPr defaultRowHeight="15" x14ac:dyDescent="0.25"/>
  <cols>
    <col min="2" max="5" width="24.42578125" customWidth="1"/>
    <col min="6" max="6" width="23.85546875" bestFit="1" customWidth="1"/>
    <col min="7" max="8" width="16.85546875" bestFit="1" customWidth="1"/>
    <col min="10" max="12" width="11" customWidth="1"/>
  </cols>
  <sheetData>
    <row r="1" spans="2:12" ht="15.75" thickBot="1" x14ac:dyDescent="0.3"/>
    <row r="2" spans="2:12" ht="75" customHeight="1" thickBot="1" x14ac:dyDescent="0.3">
      <c r="B2" s="245" t="s">
        <v>563</v>
      </c>
      <c r="C2" s="245" t="s">
        <v>476</v>
      </c>
      <c r="D2" s="94" t="s">
        <v>564</v>
      </c>
      <c r="E2" s="245" t="s">
        <v>566</v>
      </c>
      <c r="F2" s="259" t="s">
        <v>567</v>
      </c>
      <c r="G2" s="260"/>
      <c r="H2" s="261"/>
      <c r="J2" s="101">
        <f>F9+F13+F17+F21+F25+F29+F34+F38+F41+F45+F49+F53+F56+F60+F64+F67+F71+F75+F79+F83+F86+F89+F92+F96+F100+F105+F109+F113+F117+F122+F126+F130+F133+F134+F137+F138</f>
        <v>441392.99999999988</v>
      </c>
      <c r="K2" s="101">
        <f t="shared" ref="K2:L2" si="0">G9+G13+G17+G21+G25+G29+G34+G38+G41+G45+G49+G53+G56+G60+G64+G67+G71+G75+G79+G83+G86+G89+G92+G96+G100+G105+G109+G113+G117+G122+G126+G130+G133+G134+G137+G138</f>
        <v>426437.29999999993</v>
      </c>
      <c r="L2" s="101">
        <f t="shared" si="0"/>
        <v>428802.1</v>
      </c>
    </row>
    <row r="3" spans="2:12" ht="30" x14ac:dyDescent="0.25">
      <c r="B3" s="246"/>
      <c r="C3" s="246"/>
      <c r="D3" s="95" t="s">
        <v>565</v>
      </c>
      <c r="E3" s="246"/>
      <c r="F3" s="95" t="s">
        <v>568</v>
      </c>
      <c r="G3" s="95" t="s">
        <v>569</v>
      </c>
      <c r="H3" s="95" t="s">
        <v>570</v>
      </c>
      <c r="J3" s="101"/>
      <c r="K3" s="101"/>
      <c r="L3" s="101"/>
    </row>
    <row r="4" spans="2:12" ht="15.75" thickBot="1" x14ac:dyDescent="0.3">
      <c r="B4" s="247"/>
      <c r="C4" s="247"/>
      <c r="D4" s="96"/>
      <c r="E4" s="247"/>
      <c r="F4" s="97">
        <v>2024</v>
      </c>
      <c r="G4" s="97">
        <v>2025</v>
      </c>
      <c r="H4" s="97">
        <v>2026</v>
      </c>
      <c r="J4" s="101"/>
      <c r="K4" s="101"/>
      <c r="L4" s="101"/>
    </row>
    <row r="5" spans="2:12" ht="15.75" thickBot="1" x14ac:dyDescent="0.3">
      <c r="B5" s="98">
        <v>1</v>
      </c>
      <c r="C5" s="97">
        <v>2</v>
      </c>
      <c r="D5" s="97">
        <v>3</v>
      </c>
      <c r="E5" s="97">
        <v>4</v>
      </c>
      <c r="F5" s="97">
        <v>5</v>
      </c>
      <c r="G5" s="97">
        <v>6</v>
      </c>
      <c r="H5" s="97">
        <v>7</v>
      </c>
      <c r="J5" s="101"/>
      <c r="K5" s="101"/>
      <c r="L5" s="101"/>
    </row>
    <row r="6" spans="2:12" x14ac:dyDescent="0.25">
      <c r="B6" s="242">
        <v>1</v>
      </c>
      <c r="C6" s="242" t="s">
        <v>474</v>
      </c>
      <c r="D6" s="99" t="s">
        <v>571</v>
      </c>
      <c r="E6" s="242" t="s">
        <v>478</v>
      </c>
      <c r="F6" s="245">
        <v>136</v>
      </c>
      <c r="G6" s="245">
        <v>136</v>
      </c>
      <c r="H6" s="245">
        <v>136</v>
      </c>
      <c r="J6" s="101"/>
      <c r="K6" s="101"/>
      <c r="L6" s="101"/>
    </row>
    <row r="7" spans="2:12" ht="63.75" x14ac:dyDescent="0.25">
      <c r="B7" s="243"/>
      <c r="C7" s="243"/>
      <c r="D7" s="99" t="s">
        <v>572</v>
      </c>
      <c r="E7" s="243"/>
      <c r="F7" s="246"/>
      <c r="G7" s="246"/>
      <c r="H7" s="246"/>
      <c r="J7" s="101"/>
      <c r="K7" s="101"/>
      <c r="L7" s="101"/>
    </row>
    <row r="8" spans="2:12" ht="15.75" thickBot="1" x14ac:dyDescent="0.3">
      <c r="B8" s="243"/>
      <c r="C8" s="244"/>
      <c r="D8" s="100" t="s">
        <v>573</v>
      </c>
      <c r="E8" s="244"/>
      <c r="F8" s="247"/>
      <c r="G8" s="247"/>
      <c r="H8" s="247"/>
      <c r="J8" s="101"/>
      <c r="K8" s="101"/>
      <c r="L8" s="101"/>
    </row>
    <row r="9" spans="2:12" ht="64.5" thickBot="1" x14ac:dyDescent="0.3">
      <c r="B9" s="244"/>
      <c r="C9" s="100" t="s">
        <v>574</v>
      </c>
      <c r="D9" s="100"/>
      <c r="E9" s="100"/>
      <c r="F9" s="102">
        <v>36237</v>
      </c>
      <c r="G9" s="97">
        <v>36237</v>
      </c>
      <c r="H9" s="97">
        <v>36237</v>
      </c>
      <c r="J9" s="101"/>
      <c r="K9" s="101"/>
      <c r="L9" s="101"/>
    </row>
    <row r="10" spans="2:12" x14ac:dyDescent="0.25">
      <c r="B10" s="242">
        <v>2</v>
      </c>
      <c r="C10" s="242" t="s">
        <v>474</v>
      </c>
      <c r="D10" s="99" t="s">
        <v>571</v>
      </c>
      <c r="E10" s="242" t="s">
        <v>478</v>
      </c>
      <c r="F10" s="245">
        <v>607</v>
      </c>
      <c r="G10" s="245">
        <v>622</v>
      </c>
      <c r="H10" s="245">
        <v>624</v>
      </c>
    </row>
    <row r="11" spans="2:12" ht="63.75" x14ac:dyDescent="0.25">
      <c r="B11" s="243"/>
      <c r="C11" s="243"/>
      <c r="D11" s="99" t="s">
        <v>572</v>
      </c>
      <c r="E11" s="243"/>
      <c r="F11" s="246"/>
      <c r="G11" s="246"/>
      <c r="H11" s="246"/>
    </row>
    <row r="12" spans="2:12" ht="15.75" thickBot="1" x14ac:dyDescent="0.3">
      <c r="B12" s="244"/>
      <c r="C12" s="244"/>
      <c r="D12" s="100" t="s">
        <v>575</v>
      </c>
      <c r="E12" s="244"/>
      <c r="F12" s="247"/>
      <c r="G12" s="247"/>
      <c r="H12" s="247"/>
    </row>
    <row r="13" spans="2:12" ht="64.5" thickBot="1" x14ac:dyDescent="0.3">
      <c r="B13" s="103"/>
      <c r="C13" s="100" t="s">
        <v>576</v>
      </c>
      <c r="D13" s="100"/>
      <c r="E13" s="100"/>
      <c r="F13" s="104">
        <v>36972.6</v>
      </c>
      <c r="G13" s="104">
        <v>20379.900000000001</v>
      </c>
      <c r="H13" s="104">
        <v>20780</v>
      </c>
    </row>
    <row r="14" spans="2:12" ht="25.5" x14ac:dyDescent="0.25">
      <c r="B14" s="242">
        <v>3</v>
      </c>
      <c r="C14" s="242" t="s">
        <v>577</v>
      </c>
      <c r="D14" s="99" t="s">
        <v>578</v>
      </c>
      <c r="E14" s="242" t="s">
        <v>478</v>
      </c>
      <c r="F14" s="245">
        <v>87</v>
      </c>
      <c r="G14" s="245">
        <v>76</v>
      </c>
      <c r="H14" s="245">
        <v>74</v>
      </c>
    </row>
    <row r="15" spans="2:12" ht="51" x14ac:dyDescent="0.25">
      <c r="B15" s="243"/>
      <c r="C15" s="243"/>
      <c r="D15" s="99" t="s">
        <v>579</v>
      </c>
      <c r="E15" s="243"/>
      <c r="F15" s="246"/>
      <c r="G15" s="246"/>
      <c r="H15" s="246"/>
    </row>
    <row r="16" spans="2:12" ht="15.75" thickBot="1" x14ac:dyDescent="0.3">
      <c r="B16" s="243"/>
      <c r="C16" s="244"/>
      <c r="D16" s="100" t="s">
        <v>580</v>
      </c>
      <c r="E16" s="244"/>
      <c r="F16" s="247"/>
      <c r="G16" s="247"/>
      <c r="H16" s="247"/>
    </row>
    <row r="17" spans="2:8" ht="64.5" thickBot="1" x14ac:dyDescent="0.3">
      <c r="B17" s="244"/>
      <c r="C17" s="100" t="s">
        <v>581</v>
      </c>
      <c r="D17" s="100"/>
      <c r="E17" s="100"/>
      <c r="F17" s="97">
        <v>5872.5</v>
      </c>
      <c r="G17" s="97">
        <v>5872.5</v>
      </c>
      <c r="H17" s="97">
        <v>5872.5</v>
      </c>
    </row>
    <row r="18" spans="2:8" ht="25.5" x14ac:dyDescent="0.25">
      <c r="B18" s="242">
        <v>4</v>
      </c>
      <c r="C18" s="242" t="s">
        <v>577</v>
      </c>
      <c r="D18" s="99" t="s">
        <v>578</v>
      </c>
      <c r="E18" s="242" t="s">
        <v>478</v>
      </c>
      <c r="F18" s="245">
        <v>6</v>
      </c>
      <c r="G18" s="245">
        <v>4</v>
      </c>
      <c r="H18" s="245">
        <v>2</v>
      </c>
    </row>
    <row r="19" spans="2:8" ht="76.5" x14ac:dyDescent="0.25">
      <c r="B19" s="243"/>
      <c r="C19" s="243"/>
      <c r="D19" s="99" t="s">
        <v>582</v>
      </c>
      <c r="E19" s="243"/>
      <c r="F19" s="246"/>
      <c r="G19" s="246"/>
      <c r="H19" s="246"/>
    </row>
    <row r="20" spans="2:8" ht="15.75" thickBot="1" x14ac:dyDescent="0.3">
      <c r="B20" s="243"/>
      <c r="C20" s="244"/>
      <c r="D20" s="100" t="s">
        <v>583</v>
      </c>
      <c r="E20" s="244"/>
      <c r="F20" s="247"/>
      <c r="G20" s="247"/>
      <c r="H20" s="247"/>
    </row>
    <row r="21" spans="2:8" ht="64.5" thickBot="1" x14ac:dyDescent="0.3">
      <c r="B21" s="244"/>
      <c r="C21" s="100" t="s">
        <v>584</v>
      </c>
      <c r="D21" s="100"/>
      <c r="E21" s="100"/>
      <c r="F21" s="97">
        <v>299.3</v>
      </c>
      <c r="G21" s="97">
        <v>299.3</v>
      </c>
      <c r="H21" s="97">
        <v>299.3</v>
      </c>
    </row>
    <row r="22" spans="2:8" x14ac:dyDescent="0.25">
      <c r="B22" s="242">
        <v>5</v>
      </c>
      <c r="C22" s="242" t="s">
        <v>426</v>
      </c>
      <c r="D22" s="99" t="s">
        <v>571</v>
      </c>
      <c r="E22" s="242" t="s">
        <v>478</v>
      </c>
      <c r="F22" s="245">
        <v>136</v>
      </c>
      <c r="G22" s="245">
        <v>136</v>
      </c>
      <c r="H22" s="245">
        <v>136</v>
      </c>
    </row>
    <row r="23" spans="2:8" ht="63.75" x14ac:dyDescent="0.25">
      <c r="B23" s="243"/>
      <c r="C23" s="243"/>
      <c r="D23" s="99" t="s">
        <v>572</v>
      </c>
      <c r="E23" s="243"/>
      <c r="F23" s="246"/>
      <c r="G23" s="246"/>
      <c r="H23" s="246"/>
    </row>
    <row r="24" spans="2:8" ht="15.75" thickBot="1" x14ac:dyDescent="0.3">
      <c r="B24" s="243"/>
      <c r="C24" s="244"/>
      <c r="D24" s="100" t="s">
        <v>573</v>
      </c>
      <c r="E24" s="243"/>
      <c r="F24" s="247"/>
      <c r="G24" s="247"/>
      <c r="H24" s="247"/>
    </row>
    <row r="25" spans="2:8" ht="64.5" thickBot="1" x14ac:dyDescent="0.3">
      <c r="B25" s="244"/>
      <c r="C25" s="100" t="s">
        <v>585</v>
      </c>
      <c r="D25" s="100"/>
      <c r="E25" s="244"/>
      <c r="F25" s="97">
        <v>27534</v>
      </c>
      <c r="G25" s="97">
        <v>27534</v>
      </c>
      <c r="H25" s="97">
        <v>27534</v>
      </c>
    </row>
    <row r="26" spans="2:8" x14ac:dyDescent="0.25">
      <c r="B26" s="242">
        <v>6</v>
      </c>
      <c r="C26" s="242" t="s">
        <v>426</v>
      </c>
      <c r="D26" s="99" t="s">
        <v>571</v>
      </c>
      <c r="E26" s="242" t="s">
        <v>478</v>
      </c>
      <c r="F26" s="245">
        <v>686</v>
      </c>
      <c r="G26" s="245">
        <v>692</v>
      </c>
      <c r="H26" s="245">
        <v>704</v>
      </c>
    </row>
    <row r="27" spans="2:8" ht="63.75" x14ac:dyDescent="0.25">
      <c r="B27" s="243"/>
      <c r="C27" s="243"/>
      <c r="D27" s="99" t="s">
        <v>572</v>
      </c>
      <c r="E27" s="243"/>
      <c r="F27" s="246"/>
      <c r="G27" s="246"/>
      <c r="H27" s="246"/>
    </row>
    <row r="28" spans="2:8" ht="15.75" thickBot="1" x14ac:dyDescent="0.3">
      <c r="B28" s="243"/>
      <c r="C28" s="244"/>
      <c r="D28" s="100" t="s">
        <v>575</v>
      </c>
      <c r="E28" s="244"/>
      <c r="F28" s="247"/>
      <c r="G28" s="247"/>
      <c r="H28" s="247"/>
    </row>
    <row r="29" spans="2:8" x14ac:dyDescent="0.25">
      <c r="B29" s="243"/>
      <c r="C29" s="242" t="s">
        <v>586</v>
      </c>
      <c r="D29" s="242"/>
      <c r="E29" s="242"/>
      <c r="F29" s="245">
        <v>63227.199999999997</v>
      </c>
      <c r="G29" s="245">
        <v>71797.5</v>
      </c>
      <c r="H29" s="245">
        <v>76902.600000000006</v>
      </c>
    </row>
    <row r="30" spans="2:8" ht="15.75" thickBot="1" x14ac:dyDescent="0.3">
      <c r="B30" s="244"/>
      <c r="C30" s="244"/>
      <c r="D30" s="244"/>
      <c r="E30" s="244"/>
      <c r="F30" s="247"/>
      <c r="G30" s="247"/>
      <c r="H30" s="247"/>
    </row>
    <row r="31" spans="2:8" ht="38.25" x14ac:dyDescent="0.25">
      <c r="B31" s="242">
        <v>7</v>
      </c>
      <c r="C31" s="242" t="s">
        <v>426</v>
      </c>
      <c r="D31" s="105" t="s">
        <v>587</v>
      </c>
      <c r="E31" s="242" t="s">
        <v>478</v>
      </c>
      <c r="F31" s="245">
        <v>1</v>
      </c>
      <c r="G31" s="245">
        <v>0</v>
      </c>
      <c r="H31" s="245">
        <v>0</v>
      </c>
    </row>
    <row r="32" spans="2:8" x14ac:dyDescent="0.25">
      <c r="B32" s="243"/>
      <c r="C32" s="243"/>
      <c r="D32" s="105" t="s">
        <v>588</v>
      </c>
      <c r="E32" s="243"/>
      <c r="F32" s="246"/>
      <c r="G32" s="246"/>
      <c r="H32" s="246"/>
    </row>
    <row r="33" spans="2:8" ht="15.75" thickBot="1" x14ac:dyDescent="0.3">
      <c r="B33" s="243"/>
      <c r="C33" s="244"/>
      <c r="D33" s="106" t="s">
        <v>589</v>
      </c>
      <c r="E33" s="244"/>
      <c r="F33" s="247"/>
      <c r="G33" s="247"/>
      <c r="H33" s="247"/>
    </row>
    <row r="34" spans="2:8" ht="64.5" thickBot="1" x14ac:dyDescent="0.3">
      <c r="B34" s="244"/>
      <c r="C34" s="100" t="s">
        <v>590</v>
      </c>
      <c r="D34" s="100"/>
      <c r="E34" s="100"/>
      <c r="F34" s="97">
        <v>34.9</v>
      </c>
      <c r="G34" s="97">
        <v>0</v>
      </c>
      <c r="H34" s="97">
        <v>0</v>
      </c>
    </row>
    <row r="35" spans="2:8" ht="38.25" x14ac:dyDescent="0.25">
      <c r="B35" s="242">
        <v>8</v>
      </c>
      <c r="C35" s="242" t="s">
        <v>426</v>
      </c>
      <c r="D35" s="105" t="s">
        <v>587</v>
      </c>
      <c r="E35" s="242" t="s">
        <v>478</v>
      </c>
      <c r="F35" s="245">
        <v>5</v>
      </c>
      <c r="G35" s="245">
        <v>4</v>
      </c>
      <c r="H35" s="245">
        <v>4</v>
      </c>
    </row>
    <row r="36" spans="2:8" x14ac:dyDescent="0.25">
      <c r="B36" s="243"/>
      <c r="C36" s="243"/>
      <c r="D36" s="105" t="s">
        <v>591</v>
      </c>
      <c r="E36" s="243"/>
      <c r="F36" s="246"/>
      <c r="G36" s="246"/>
      <c r="H36" s="246"/>
    </row>
    <row r="37" spans="2:8" ht="15.75" thickBot="1" x14ac:dyDescent="0.3">
      <c r="B37" s="243"/>
      <c r="C37" s="244"/>
      <c r="D37" s="106" t="s">
        <v>589</v>
      </c>
      <c r="E37" s="244"/>
      <c r="F37" s="247"/>
      <c r="G37" s="247"/>
      <c r="H37" s="247"/>
    </row>
    <row r="38" spans="2:8" ht="64.5" thickBot="1" x14ac:dyDescent="0.3">
      <c r="B38" s="244"/>
      <c r="C38" s="100" t="s">
        <v>592</v>
      </c>
      <c r="D38" s="100"/>
      <c r="E38" s="100"/>
      <c r="F38" s="97">
        <v>138.19999999999999</v>
      </c>
      <c r="G38" s="97">
        <v>173.1</v>
      </c>
      <c r="H38" s="97">
        <v>173.1</v>
      </c>
    </row>
    <row r="39" spans="2:8" ht="76.5" x14ac:dyDescent="0.25">
      <c r="B39" s="242">
        <v>9</v>
      </c>
      <c r="C39" s="242" t="s">
        <v>426</v>
      </c>
      <c r="D39" s="99" t="s">
        <v>582</v>
      </c>
      <c r="E39" s="242" t="s">
        <v>478</v>
      </c>
      <c r="F39" s="245">
        <v>8</v>
      </c>
      <c r="G39" s="245">
        <v>6</v>
      </c>
      <c r="H39" s="245">
        <v>2</v>
      </c>
    </row>
    <row r="40" spans="2:8" ht="26.25" thickBot="1" x14ac:dyDescent="0.3">
      <c r="B40" s="244"/>
      <c r="C40" s="244"/>
      <c r="D40" s="106" t="s">
        <v>593</v>
      </c>
      <c r="E40" s="244"/>
      <c r="F40" s="247"/>
      <c r="G40" s="247"/>
      <c r="H40" s="247"/>
    </row>
    <row r="41" spans="2:8" ht="64.5" thickBot="1" x14ac:dyDescent="0.3">
      <c r="B41" s="103"/>
      <c r="C41" s="100" t="s">
        <v>594</v>
      </c>
      <c r="D41" s="100"/>
      <c r="E41" s="100"/>
      <c r="F41" s="97">
        <v>172.5</v>
      </c>
      <c r="G41" s="97">
        <v>172.6</v>
      </c>
      <c r="H41" s="97">
        <v>172.5</v>
      </c>
    </row>
    <row r="42" spans="2:8" x14ac:dyDescent="0.25">
      <c r="B42" s="242">
        <v>10</v>
      </c>
      <c r="C42" s="251" t="s">
        <v>484</v>
      </c>
      <c r="D42" s="105" t="s">
        <v>595</v>
      </c>
      <c r="E42" s="242" t="s">
        <v>478</v>
      </c>
      <c r="F42" s="245">
        <v>1016</v>
      </c>
      <c r="G42" s="245">
        <v>977</v>
      </c>
      <c r="H42" s="245">
        <v>977</v>
      </c>
    </row>
    <row r="43" spans="2:8" ht="63.75" x14ac:dyDescent="0.25">
      <c r="B43" s="243"/>
      <c r="C43" s="252"/>
      <c r="D43" s="99" t="s">
        <v>596</v>
      </c>
      <c r="E43" s="243"/>
      <c r="F43" s="246"/>
      <c r="G43" s="246"/>
      <c r="H43" s="246"/>
    </row>
    <row r="44" spans="2:8" ht="15.75" thickBot="1" x14ac:dyDescent="0.3">
      <c r="B44" s="243"/>
      <c r="C44" s="253"/>
      <c r="D44" s="106" t="s">
        <v>571</v>
      </c>
      <c r="E44" s="244"/>
      <c r="F44" s="247"/>
      <c r="G44" s="247"/>
      <c r="H44" s="247"/>
    </row>
    <row r="45" spans="2:8" ht="64.5" thickBot="1" x14ac:dyDescent="0.3">
      <c r="B45" s="244"/>
      <c r="C45" s="100" t="s">
        <v>597</v>
      </c>
      <c r="D45" s="100"/>
      <c r="E45" s="100"/>
      <c r="F45" s="97">
        <v>103182.3</v>
      </c>
      <c r="G45" s="97">
        <v>102338.7</v>
      </c>
      <c r="H45" s="97">
        <v>102565.2</v>
      </c>
    </row>
    <row r="46" spans="2:8" ht="38.25" x14ac:dyDescent="0.25">
      <c r="B46" s="242">
        <v>11</v>
      </c>
      <c r="C46" s="251" t="s">
        <v>484</v>
      </c>
      <c r="D46" s="105" t="s">
        <v>598</v>
      </c>
      <c r="E46" s="242" t="s">
        <v>478</v>
      </c>
      <c r="F46" s="245">
        <v>6</v>
      </c>
      <c r="G46" s="245">
        <v>3</v>
      </c>
      <c r="H46" s="245">
        <v>3</v>
      </c>
    </row>
    <row r="47" spans="2:8" ht="38.25" x14ac:dyDescent="0.25">
      <c r="B47" s="243"/>
      <c r="C47" s="252"/>
      <c r="D47" s="99" t="s">
        <v>599</v>
      </c>
      <c r="E47" s="243"/>
      <c r="F47" s="246"/>
      <c r="G47" s="246"/>
      <c r="H47" s="246"/>
    </row>
    <row r="48" spans="2:8" ht="15.75" thickBot="1" x14ac:dyDescent="0.3">
      <c r="B48" s="243"/>
      <c r="C48" s="253"/>
      <c r="D48" s="106" t="s">
        <v>600</v>
      </c>
      <c r="E48" s="244"/>
      <c r="F48" s="247"/>
      <c r="G48" s="247"/>
      <c r="H48" s="247"/>
    </row>
    <row r="49" spans="2:8" ht="64.5" thickBot="1" x14ac:dyDescent="0.3">
      <c r="B49" s="244"/>
      <c r="C49" s="100" t="s">
        <v>601</v>
      </c>
      <c r="D49" s="100"/>
      <c r="E49" s="100"/>
      <c r="F49" s="97">
        <v>269.10000000000002</v>
      </c>
      <c r="G49" s="97">
        <v>269.10000000000002</v>
      </c>
      <c r="H49" s="97">
        <v>269.10000000000002</v>
      </c>
    </row>
    <row r="50" spans="2:8" ht="38.25" x14ac:dyDescent="0.25">
      <c r="B50" s="242">
        <v>12</v>
      </c>
      <c r="C50" s="251" t="s">
        <v>484</v>
      </c>
      <c r="D50" s="105" t="s">
        <v>598</v>
      </c>
      <c r="E50" s="242" t="s">
        <v>478</v>
      </c>
      <c r="F50" s="245">
        <v>7</v>
      </c>
      <c r="G50" s="245">
        <v>7</v>
      </c>
      <c r="H50" s="245">
        <v>7</v>
      </c>
    </row>
    <row r="51" spans="2:8" x14ac:dyDescent="0.25">
      <c r="B51" s="243"/>
      <c r="C51" s="252"/>
      <c r="D51" s="105" t="s">
        <v>602</v>
      </c>
      <c r="E51" s="243"/>
      <c r="F51" s="246"/>
      <c r="G51" s="246"/>
      <c r="H51" s="246"/>
    </row>
    <row r="52" spans="2:8" ht="39" thickBot="1" x14ac:dyDescent="0.3">
      <c r="B52" s="243"/>
      <c r="C52" s="253"/>
      <c r="D52" s="106" t="s">
        <v>603</v>
      </c>
      <c r="E52" s="244"/>
      <c r="F52" s="247"/>
      <c r="G52" s="247"/>
      <c r="H52" s="247"/>
    </row>
    <row r="53" spans="2:8" ht="64.5" thickBot="1" x14ac:dyDescent="0.3">
      <c r="B53" s="244"/>
      <c r="C53" s="100" t="s">
        <v>604</v>
      </c>
      <c r="D53" s="100"/>
      <c r="E53" s="100"/>
      <c r="F53" s="97">
        <v>193.7</v>
      </c>
      <c r="G53" s="97">
        <v>193.7</v>
      </c>
      <c r="H53" s="97">
        <v>193.7</v>
      </c>
    </row>
    <row r="54" spans="2:8" ht="76.5" x14ac:dyDescent="0.25">
      <c r="B54" s="242">
        <v>13</v>
      </c>
      <c r="C54" s="251" t="s">
        <v>484</v>
      </c>
      <c r="D54" s="105" t="s">
        <v>605</v>
      </c>
      <c r="E54" s="242" t="s">
        <v>478</v>
      </c>
      <c r="F54" s="245">
        <v>12</v>
      </c>
      <c r="G54" s="245">
        <v>12</v>
      </c>
      <c r="H54" s="245">
        <v>12</v>
      </c>
    </row>
    <row r="55" spans="2:8" ht="15.75" thickBot="1" x14ac:dyDescent="0.3">
      <c r="B55" s="243"/>
      <c r="C55" s="253"/>
      <c r="D55" s="106" t="s">
        <v>571</v>
      </c>
      <c r="E55" s="244"/>
      <c r="F55" s="247"/>
      <c r="G55" s="247"/>
      <c r="H55" s="247"/>
    </row>
    <row r="56" spans="2:8" ht="64.5" thickBot="1" x14ac:dyDescent="0.3">
      <c r="B56" s="244"/>
      <c r="C56" s="100" t="s">
        <v>606</v>
      </c>
      <c r="D56" s="100"/>
      <c r="E56" s="100"/>
      <c r="F56" s="97">
        <v>5102.3</v>
      </c>
      <c r="G56" s="97">
        <v>5102.3</v>
      </c>
      <c r="H56" s="97">
        <v>5102.3</v>
      </c>
    </row>
    <row r="57" spans="2:8" x14ac:dyDescent="0.25">
      <c r="B57" s="242">
        <v>14</v>
      </c>
      <c r="C57" s="251" t="s">
        <v>484</v>
      </c>
      <c r="D57" s="105" t="s">
        <v>595</v>
      </c>
      <c r="E57" s="242" t="s">
        <v>478</v>
      </c>
      <c r="F57" s="245">
        <v>1</v>
      </c>
      <c r="G57" s="245">
        <v>1</v>
      </c>
      <c r="H57" s="245">
        <v>1</v>
      </c>
    </row>
    <row r="58" spans="2:8" x14ac:dyDescent="0.25">
      <c r="B58" s="243"/>
      <c r="C58" s="252"/>
      <c r="D58" s="105" t="s">
        <v>607</v>
      </c>
      <c r="E58" s="243"/>
      <c r="F58" s="246"/>
      <c r="G58" s="246"/>
      <c r="H58" s="246"/>
    </row>
    <row r="59" spans="2:8" ht="39" thickBot="1" x14ac:dyDescent="0.3">
      <c r="B59" s="243"/>
      <c r="C59" s="253"/>
      <c r="D59" s="106" t="s">
        <v>603</v>
      </c>
      <c r="E59" s="244"/>
      <c r="F59" s="247"/>
      <c r="G59" s="247"/>
      <c r="H59" s="247"/>
    </row>
    <row r="60" spans="2:8" ht="64.5" thickBot="1" x14ac:dyDescent="0.3">
      <c r="B60" s="244"/>
      <c r="C60" s="100" t="s">
        <v>608</v>
      </c>
      <c r="D60" s="100"/>
      <c r="E60" s="100"/>
      <c r="F60" s="97">
        <v>301.39999999999998</v>
      </c>
      <c r="G60" s="97">
        <v>301.39999999999998</v>
      </c>
      <c r="H60" s="97">
        <v>301.39999999999998</v>
      </c>
    </row>
    <row r="61" spans="2:8" x14ac:dyDescent="0.25">
      <c r="B61" s="242">
        <v>15</v>
      </c>
      <c r="C61" s="251" t="s">
        <v>484</v>
      </c>
      <c r="D61" s="105" t="s">
        <v>595</v>
      </c>
      <c r="E61" s="242" t="s">
        <v>478</v>
      </c>
      <c r="F61" s="245">
        <v>0</v>
      </c>
      <c r="G61" s="245">
        <v>0</v>
      </c>
      <c r="H61" s="245">
        <v>0</v>
      </c>
    </row>
    <row r="62" spans="2:8" ht="63.75" x14ac:dyDescent="0.25">
      <c r="B62" s="243"/>
      <c r="C62" s="252"/>
      <c r="D62" s="99" t="s">
        <v>596</v>
      </c>
      <c r="E62" s="243"/>
      <c r="F62" s="246"/>
      <c r="G62" s="246"/>
      <c r="H62" s="246"/>
    </row>
    <row r="63" spans="2:8" ht="39" thickBot="1" x14ac:dyDescent="0.3">
      <c r="B63" s="244"/>
      <c r="C63" s="253"/>
      <c r="D63" s="106" t="s">
        <v>603</v>
      </c>
      <c r="E63" s="244"/>
      <c r="F63" s="247"/>
      <c r="G63" s="247"/>
      <c r="H63" s="247"/>
    </row>
    <row r="64" spans="2:8" ht="64.5" thickBot="1" x14ac:dyDescent="0.3">
      <c r="B64" s="103"/>
      <c r="C64" s="100" t="s">
        <v>609</v>
      </c>
      <c r="D64" s="100"/>
      <c r="E64" s="100"/>
      <c r="F64" s="97">
        <v>0</v>
      </c>
      <c r="G64" s="97">
        <v>0</v>
      </c>
      <c r="H64" s="97">
        <v>0</v>
      </c>
    </row>
    <row r="65" spans="2:8" ht="76.5" x14ac:dyDescent="0.25">
      <c r="B65" s="242">
        <v>16</v>
      </c>
      <c r="C65" s="251" t="s">
        <v>484</v>
      </c>
      <c r="D65" s="99" t="s">
        <v>605</v>
      </c>
      <c r="E65" s="242" t="s">
        <v>478</v>
      </c>
      <c r="F65" s="245">
        <v>3</v>
      </c>
      <c r="G65" s="245">
        <v>3</v>
      </c>
      <c r="H65" s="245">
        <v>3</v>
      </c>
    </row>
    <row r="66" spans="2:8" ht="39" thickBot="1" x14ac:dyDescent="0.3">
      <c r="B66" s="243"/>
      <c r="C66" s="253"/>
      <c r="D66" s="100" t="s">
        <v>603</v>
      </c>
      <c r="E66" s="244"/>
      <c r="F66" s="247"/>
      <c r="G66" s="247"/>
      <c r="H66" s="247"/>
    </row>
    <row r="67" spans="2:8" ht="64.5" thickBot="1" x14ac:dyDescent="0.3">
      <c r="B67" s="244"/>
      <c r="C67" s="100" t="s">
        <v>610</v>
      </c>
      <c r="D67" s="100"/>
      <c r="E67" s="100"/>
      <c r="F67" s="107">
        <v>64.099999999999994</v>
      </c>
      <c r="G67" s="107">
        <v>64.099999999999994</v>
      </c>
      <c r="H67" s="107">
        <v>64.099999999999994</v>
      </c>
    </row>
    <row r="68" spans="2:8" x14ac:dyDescent="0.25">
      <c r="B68" s="242">
        <v>17</v>
      </c>
      <c r="C68" s="251" t="s">
        <v>492</v>
      </c>
      <c r="D68" s="105" t="s">
        <v>595</v>
      </c>
      <c r="E68" s="242" t="s">
        <v>478</v>
      </c>
      <c r="F68" s="245">
        <v>1355</v>
      </c>
      <c r="G68" s="245">
        <v>1360</v>
      </c>
      <c r="H68" s="245">
        <v>1360</v>
      </c>
    </row>
    <row r="69" spans="2:8" ht="63.75" x14ac:dyDescent="0.25">
      <c r="B69" s="243"/>
      <c r="C69" s="252"/>
      <c r="D69" s="99" t="s">
        <v>596</v>
      </c>
      <c r="E69" s="243"/>
      <c r="F69" s="246"/>
      <c r="G69" s="246"/>
      <c r="H69" s="246"/>
    </row>
    <row r="70" spans="2:8" ht="15.75" thickBot="1" x14ac:dyDescent="0.3">
      <c r="B70" s="243"/>
      <c r="C70" s="253"/>
      <c r="D70" s="106" t="s">
        <v>571</v>
      </c>
      <c r="E70" s="244"/>
      <c r="F70" s="247"/>
      <c r="G70" s="247"/>
      <c r="H70" s="247"/>
    </row>
    <row r="71" spans="2:8" x14ac:dyDescent="0.25">
      <c r="B71" s="243"/>
      <c r="C71" s="242" t="s">
        <v>611</v>
      </c>
      <c r="D71" s="242"/>
      <c r="E71" s="242"/>
      <c r="F71" s="245">
        <v>93030.399999999994</v>
      </c>
      <c r="G71" s="257">
        <v>86820.800000000003</v>
      </c>
      <c r="H71" s="245">
        <v>92928.6</v>
      </c>
    </row>
    <row r="72" spans="2:8" ht="15.75" thickBot="1" x14ac:dyDescent="0.3">
      <c r="B72" s="244"/>
      <c r="C72" s="244"/>
      <c r="D72" s="244"/>
      <c r="E72" s="244"/>
      <c r="F72" s="247"/>
      <c r="G72" s="258"/>
      <c r="H72" s="247"/>
    </row>
    <row r="73" spans="2:8" ht="63.75" x14ac:dyDescent="0.25">
      <c r="B73" s="242">
        <v>18</v>
      </c>
      <c r="C73" s="251" t="s">
        <v>492</v>
      </c>
      <c r="D73" s="99" t="s">
        <v>612</v>
      </c>
      <c r="E73" s="242" t="s">
        <v>478</v>
      </c>
      <c r="F73" s="245">
        <v>4</v>
      </c>
      <c r="G73" s="245">
        <v>4</v>
      </c>
      <c r="H73" s="245">
        <v>4</v>
      </c>
    </row>
    <row r="74" spans="2:8" ht="15.75" thickBot="1" x14ac:dyDescent="0.3">
      <c r="B74" s="243"/>
      <c r="C74" s="253"/>
      <c r="D74" s="106" t="s">
        <v>613</v>
      </c>
      <c r="E74" s="244"/>
      <c r="F74" s="247"/>
      <c r="G74" s="247"/>
      <c r="H74" s="247"/>
    </row>
    <row r="75" spans="2:8" ht="64.5" thickBot="1" x14ac:dyDescent="0.3">
      <c r="B75" s="244"/>
      <c r="C75" s="100" t="s">
        <v>614</v>
      </c>
      <c r="D75" s="100"/>
      <c r="E75" s="100"/>
      <c r="F75" s="107">
        <v>3289.3</v>
      </c>
      <c r="G75" s="107">
        <v>3289.3</v>
      </c>
      <c r="H75" s="107">
        <v>3289.3</v>
      </c>
    </row>
    <row r="76" spans="2:8" x14ac:dyDescent="0.25">
      <c r="B76" s="242">
        <v>19</v>
      </c>
      <c r="C76" s="251" t="s">
        <v>492</v>
      </c>
      <c r="D76" s="99" t="s">
        <v>615</v>
      </c>
      <c r="E76" s="242" t="s">
        <v>478</v>
      </c>
      <c r="F76" s="245">
        <v>2</v>
      </c>
      <c r="G76" s="245">
        <v>2</v>
      </c>
      <c r="H76" s="245">
        <v>2</v>
      </c>
    </row>
    <row r="77" spans="2:8" ht="63.75" x14ac:dyDescent="0.25">
      <c r="B77" s="243"/>
      <c r="C77" s="252"/>
      <c r="D77" s="99" t="s">
        <v>596</v>
      </c>
      <c r="E77" s="243"/>
      <c r="F77" s="246"/>
      <c r="G77" s="246"/>
      <c r="H77" s="246"/>
    </row>
    <row r="78" spans="2:8" ht="39" thickBot="1" x14ac:dyDescent="0.3">
      <c r="B78" s="243"/>
      <c r="C78" s="253"/>
      <c r="D78" s="100" t="s">
        <v>603</v>
      </c>
      <c r="E78" s="244"/>
      <c r="F78" s="247"/>
      <c r="G78" s="247"/>
      <c r="H78" s="247"/>
    </row>
    <row r="79" spans="2:8" ht="64.5" thickBot="1" x14ac:dyDescent="0.3">
      <c r="B79" s="244"/>
      <c r="C79" s="100" t="s">
        <v>616</v>
      </c>
      <c r="D79" s="100"/>
      <c r="E79" s="100"/>
      <c r="F79" s="97">
        <v>487</v>
      </c>
      <c r="G79" s="97">
        <v>487</v>
      </c>
      <c r="H79" s="97">
        <v>487</v>
      </c>
    </row>
    <row r="80" spans="2:8" x14ac:dyDescent="0.25">
      <c r="B80" s="242">
        <v>20</v>
      </c>
      <c r="C80" s="251" t="s">
        <v>492</v>
      </c>
      <c r="D80" s="105" t="s">
        <v>615</v>
      </c>
      <c r="E80" s="242" t="s">
        <v>478</v>
      </c>
      <c r="F80" s="245">
        <v>1</v>
      </c>
      <c r="G80" s="245">
        <v>0</v>
      </c>
      <c r="H80" s="245">
        <v>0</v>
      </c>
    </row>
    <row r="81" spans="2:8" x14ac:dyDescent="0.25">
      <c r="B81" s="243"/>
      <c r="C81" s="252"/>
      <c r="D81" s="105" t="s">
        <v>617</v>
      </c>
      <c r="E81" s="243"/>
      <c r="F81" s="246"/>
      <c r="G81" s="246"/>
      <c r="H81" s="246"/>
    </row>
    <row r="82" spans="2:8" ht="15.75" thickBot="1" x14ac:dyDescent="0.3">
      <c r="B82" s="243"/>
      <c r="C82" s="253"/>
      <c r="D82" s="106" t="s">
        <v>618</v>
      </c>
      <c r="E82" s="244"/>
      <c r="F82" s="247"/>
      <c r="G82" s="247"/>
      <c r="H82" s="247"/>
    </row>
    <row r="83" spans="2:8" ht="64.5" thickBot="1" x14ac:dyDescent="0.3">
      <c r="B83" s="244"/>
      <c r="C83" s="100" t="s">
        <v>619</v>
      </c>
      <c r="D83" s="100"/>
      <c r="E83" s="100"/>
      <c r="F83" s="97">
        <v>254.8</v>
      </c>
      <c r="G83" s="97">
        <v>254.8</v>
      </c>
      <c r="H83" s="97">
        <v>254.8</v>
      </c>
    </row>
    <row r="84" spans="2:8" ht="38.25" x14ac:dyDescent="0.25">
      <c r="B84" s="242">
        <v>21</v>
      </c>
      <c r="C84" s="251" t="s">
        <v>492</v>
      </c>
      <c r="D84" s="105" t="s">
        <v>620</v>
      </c>
      <c r="E84" s="242" t="s">
        <v>478</v>
      </c>
      <c r="F84" s="245">
        <v>16</v>
      </c>
      <c r="G84" s="245">
        <v>15</v>
      </c>
      <c r="H84" s="245">
        <v>15</v>
      </c>
    </row>
    <row r="85" spans="2:8" ht="39" thickBot="1" x14ac:dyDescent="0.3">
      <c r="B85" s="243"/>
      <c r="C85" s="253"/>
      <c r="D85" s="100" t="s">
        <v>603</v>
      </c>
      <c r="E85" s="244"/>
      <c r="F85" s="247"/>
      <c r="G85" s="247"/>
      <c r="H85" s="247"/>
    </row>
    <row r="86" spans="2:8" ht="64.5" thickBot="1" x14ac:dyDescent="0.3">
      <c r="B86" s="244"/>
      <c r="C86" s="100" t="s">
        <v>621</v>
      </c>
      <c r="D86" s="100"/>
      <c r="E86" s="100"/>
      <c r="F86" s="97">
        <v>2001.3</v>
      </c>
      <c r="G86" s="97">
        <v>2001.3</v>
      </c>
      <c r="H86" s="97">
        <v>2001.3</v>
      </c>
    </row>
    <row r="87" spans="2:8" ht="76.5" x14ac:dyDescent="0.25">
      <c r="B87" s="242">
        <v>22</v>
      </c>
      <c r="C87" s="251" t="s">
        <v>492</v>
      </c>
      <c r="D87" s="105" t="s">
        <v>605</v>
      </c>
      <c r="E87" s="242" t="s">
        <v>478</v>
      </c>
      <c r="F87" s="245">
        <v>62</v>
      </c>
      <c r="G87" s="245">
        <v>59</v>
      </c>
      <c r="H87" s="245">
        <v>59</v>
      </c>
    </row>
    <row r="88" spans="2:8" ht="15.75" thickBot="1" x14ac:dyDescent="0.3">
      <c r="B88" s="243"/>
      <c r="C88" s="253"/>
      <c r="D88" s="106" t="s">
        <v>571</v>
      </c>
      <c r="E88" s="244"/>
      <c r="F88" s="247"/>
      <c r="G88" s="247"/>
      <c r="H88" s="247"/>
    </row>
    <row r="89" spans="2:8" ht="64.5" thickBot="1" x14ac:dyDescent="0.3">
      <c r="B89" s="244"/>
      <c r="C89" s="100" t="s">
        <v>622</v>
      </c>
      <c r="D89" s="100"/>
      <c r="E89" s="100"/>
      <c r="F89" s="97">
        <v>5910.3</v>
      </c>
      <c r="G89" s="97">
        <v>5910.3</v>
      </c>
      <c r="H89" s="97">
        <v>5910.3</v>
      </c>
    </row>
    <row r="90" spans="2:8" ht="76.5" x14ac:dyDescent="0.25">
      <c r="B90" s="242">
        <v>23</v>
      </c>
      <c r="C90" s="251" t="s">
        <v>492</v>
      </c>
      <c r="D90" s="105" t="s">
        <v>605</v>
      </c>
      <c r="E90" s="242" t="s">
        <v>478</v>
      </c>
      <c r="F90" s="245">
        <v>6</v>
      </c>
      <c r="G90" s="245">
        <v>6</v>
      </c>
      <c r="H90" s="245">
        <v>6</v>
      </c>
    </row>
    <row r="91" spans="2:8" ht="39" thickBot="1" x14ac:dyDescent="0.3">
      <c r="B91" s="243"/>
      <c r="C91" s="253"/>
      <c r="D91" s="106" t="s">
        <v>603</v>
      </c>
      <c r="E91" s="244"/>
      <c r="F91" s="247"/>
      <c r="G91" s="247"/>
      <c r="H91" s="247"/>
    </row>
    <row r="92" spans="2:8" ht="64.5" thickBot="1" x14ac:dyDescent="0.3">
      <c r="B92" s="244"/>
      <c r="C92" s="100" t="s">
        <v>623</v>
      </c>
      <c r="D92" s="100"/>
      <c r="E92" s="100"/>
      <c r="F92" s="97">
        <v>390.6</v>
      </c>
      <c r="G92" s="97">
        <v>390.6</v>
      </c>
      <c r="H92" s="97">
        <v>390.6</v>
      </c>
    </row>
    <row r="93" spans="2:8" x14ac:dyDescent="0.25">
      <c r="B93" s="242">
        <v>24</v>
      </c>
      <c r="C93" s="251" t="s">
        <v>498</v>
      </c>
      <c r="D93" s="99" t="s">
        <v>615</v>
      </c>
      <c r="E93" s="242" t="s">
        <v>478</v>
      </c>
      <c r="F93" s="245">
        <v>230</v>
      </c>
      <c r="G93" s="245">
        <v>225</v>
      </c>
      <c r="H93" s="245">
        <v>225</v>
      </c>
    </row>
    <row r="94" spans="2:8" ht="63.75" x14ac:dyDescent="0.25">
      <c r="B94" s="243"/>
      <c r="C94" s="252"/>
      <c r="D94" s="99" t="s">
        <v>624</v>
      </c>
      <c r="E94" s="243"/>
      <c r="F94" s="246"/>
      <c r="G94" s="246"/>
      <c r="H94" s="246"/>
    </row>
    <row r="95" spans="2:8" ht="15.75" thickBot="1" x14ac:dyDescent="0.3">
      <c r="B95" s="243"/>
      <c r="C95" s="253"/>
      <c r="D95" s="100" t="s">
        <v>571</v>
      </c>
      <c r="E95" s="244"/>
      <c r="F95" s="247"/>
      <c r="G95" s="247"/>
      <c r="H95" s="247"/>
    </row>
    <row r="96" spans="2:8" ht="64.5" thickBot="1" x14ac:dyDescent="0.3">
      <c r="B96" s="244"/>
      <c r="C96" s="100" t="s">
        <v>625</v>
      </c>
      <c r="D96" s="106"/>
      <c r="E96" s="100"/>
      <c r="F96" s="97">
        <v>15120.5</v>
      </c>
      <c r="G96" s="97">
        <v>15381.5</v>
      </c>
      <c r="H96" s="102">
        <v>15120.5</v>
      </c>
    </row>
    <row r="97" spans="2:8" x14ac:dyDescent="0.25">
      <c r="B97" s="242">
        <v>25</v>
      </c>
      <c r="C97" s="251" t="s">
        <v>498</v>
      </c>
      <c r="D97" s="99" t="s">
        <v>615</v>
      </c>
      <c r="E97" s="242" t="s">
        <v>478</v>
      </c>
      <c r="F97" s="245">
        <v>1</v>
      </c>
      <c r="G97" s="245">
        <v>0</v>
      </c>
      <c r="H97" s="245">
        <v>0</v>
      </c>
    </row>
    <row r="98" spans="2:8" ht="63.75" x14ac:dyDescent="0.25">
      <c r="B98" s="243"/>
      <c r="C98" s="252"/>
      <c r="D98" s="99" t="s">
        <v>624</v>
      </c>
      <c r="E98" s="243"/>
      <c r="F98" s="246"/>
      <c r="G98" s="246"/>
      <c r="H98" s="246"/>
    </row>
    <row r="99" spans="2:8" ht="39" thickBot="1" x14ac:dyDescent="0.3">
      <c r="B99" s="244"/>
      <c r="C99" s="253"/>
      <c r="D99" s="100" t="s">
        <v>603</v>
      </c>
      <c r="E99" s="244"/>
      <c r="F99" s="247"/>
      <c r="G99" s="247"/>
      <c r="H99" s="247"/>
    </row>
    <row r="100" spans="2:8" ht="64.5" thickBot="1" x14ac:dyDescent="0.3">
      <c r="B100" s="103"/>
      <c r="C100" s="100" t="s">
        <v>626</v>
      </c>
      <c r="D100" s="106"/>
      <c r="E100" s="100"/>
      <c r="F100" s="97">
        <v>34</v>
      </c>
      <c r="G100" s="97">
        <v>34</v>
      </c>
      <c r="H100" s="97">
        <v>0</v>
      </c>
    </row>
    <row r="101" spans="2:8" x14ac:dyDescent="0.25">
      <c r="B101" s="242">
        <v>26</v>
      </c>
      <c r="C101" s="251" t="s">
        <v>498</v>
      </c>
      <c r="D101" s="99" t="s">
        <v>615</v>
      </c>
      <c r="E101" s="242" t="s">
        <v>478</v>
      </c>
      <c r="F101" s="245">
        <v>20</v>
      </c>
      <c r="G101" s="245">
        <v>20</v>
      </c>
      <c r="H101" s="245">
        <v>20</v>
      </c>
    </row>
    <row r="102" spans="2:8" ht="63.75" x14ac:dyDescent="0.25">
      <c r="B102" s="243"/>
      <c r="C102" s="252"/>
      <c r="D102" s="99" t="s">
        <v>624</v>
      </c>
      <c r="E102" s="243"/>
      <c r="F102" s="246"/>
      <c r="G102" s="246"/>
      <c r="H102" s="246"/>
    </row>
    <row r="103" spans="2:8" x14ac:dyDescent="0.25">
      <c r="B103" s="243"/>
      <c r="C103" s="252"/>
      <c r="D103" s="99" t="s">
        <v>595</v>
      </c>
      <c r="E103" s="243"/>
      <c r="F103" s="246"/>
      <c r="G103" s="246"/>
      <c r="H103" s="246"/>
    </row>
    <row r="104" spans="2:8" ht="15.75" thickBot="1" x14ac:dyDescent="0.3">
      <c r="B104" s="243"/>
      <c r="C104" s="253"/>
      <c r="D104" s="100" t="s">
        <v>627</v>
      </c>
      <c r="E104" s="244"/>
      <c r="F104" s="247"/>
      <c r="G104" s="247"/>
      <c r="H104" s="247"/>
    </row>
    <row r="105" spans="2:8" ht="64.5" thickBot="1" x14ac:dyDescent="0.3">
      <c r="B105" s="244"/>
      <c r="C105" s="109" t="s">
        <v>628</v>
      </c>
      <c r="D105" s="109"/>
      <c r="E105" s="109"/>
      <c r="F105" s="97">
        <v>1720</v>
      </c>
      <c r="G105" s="97">
        <v>1720</v>
      </c>
      <c r="H105" s="97">
        <v>1720</v>
      </c>
    </row>
    <row r="106" spans="2:8" ht="63.75" x14ac:dyDescent="0.25">
      <c r="B106" s="242">
        <v>27</v>
      </c>
      <c r="C106" s="251" t="s">
        <v>629</v>
      </c>
      <c r="D106" s="99" t="s">
        <v>624</v>
      </c>
      <c r="E106" s="242" t="s">
        <v>505</v>
      </c>
      <c r="F106" s="254">
        <v>101828</v>
      </c>
      <c r="G106" s="254">
        <v>101828</v>
      </c>
      <c r="H106" s="254">
        <v>101828</v>
      </c>
    </row>
    <row r="107" spans="2:8" x14ac:dyDescent="0.25">
      <c r="B107" s="243"/>
      <c r="C107" s="252"/>
      <c r="D107" s="105" t="s">
        <v>615</v>
      </c>
      <c r="E107" s="243"/>
      <c r="F107" s="255"/>
      <c r="G107" s="255"/>
      <c r="H107" s="255"/>
    </row>
    <row r="108" spans="2:8" ht="15.75" thickBot="1" x14ac:dyDescent="0.3">
      <c r="B108" s="243"/>
      <c r="C108" s="253"/>
      <c r="D108" s="106" t="s">
        <v>571</v>
      </c>
      <c r="E108" s="244"/>
      <c r="F108" s="256"/>
      <c r="G108" s="256"/>
      <c r="H108" s="256"/>
    </row>
    <row r="109" spans="2:8" ht="64.5" thickBot="1" x14ac:dyDescent="0.3">
      <c r="B109" s="244"/>
      <c r="C109" s="109" t="s">
        <v>630</v>
      </c>
      <c r="D109" s="109"/>
      <c r="E109" s="109"/>
      <c r="F109" s="110">
        <v>4657.3</v>
      </c>
      <c r="G109" s="110">
        <v>4657.3</v>
      </c>
      <c r="H109" s="110">
        <v>4657.3</v>
      </c>
    </row>
    <row r="110" spans="2:8" ht="63.75" x14ac:dyDescent="0.25">
      <c r="B110" s="229">
        <v>28</v>
      </c>
      <c r="C110" s="229" t="s">
        <v>503</v>
      </c>
      <c r="D110" s="111" t="s">
        <v>624</v>
      </c>
      <c r="E110" s="229" t="s">
        <v>505</v>
      </c>
      <c r="F110" s="248">
        <v>7480</v>
      </c>
      <c r="G110" s="248">
        <v>7480</v>
      </c>
      <c r="H110" s="248">
        <v>7480</v>
      </c>
    </row>
    <row r="111" spans="2:8" x14ac:dyDescent="0.25">
      <c r="B111" s="230"/>
      <c r="C111" s="230"/>
      <c r="D111" s="112" t="s">
        <v>615</v>
      </c>
      <c r="E111" s="230"/>
      <c r="F111" s="249"/>
      <c r="G111" s="249"/>
      <c r="H111" s="249"/>
    </row>
    <row r="112" spans="2:8" ht="15.75" thickBot="1" x14ac:dyDescent="0.3">
      <c r="B112" s="230"/>
      <c r="C112" s="231"/>
      <c r="D112" s="109" t="s">
        <v>571</v>
      </c>
      <c r="E112" s="231"/>
      <c r="F112" s="250"/>
      <c r="G112" s="250"/>
      <c r="H112" s="250"/>
    </row>
    <row r="113" spans="2:8" ht="64.5" thickBot="1" x14ac:dyDescent="0.3">
      <c r="B113" s="231"/>
      <c r="C113" s="109" t="s">
        <v>630</v>
      </c>
      <c r="D113" s="109"/>
      <c r="E113" s="109"/>
      <c r="F113" s="107">
        <v>0</v>
      </c>
      <c r="G113" s="107">
        <v>0</v>
      </c>
      <c r="H113" s="107">
        <v>0</v>
      </c>
    </row>
    <row r="114" spans="2:8" ht="63.75" x14ac:dyDescent="0.25">
      <c r="B114" s="242">
        <v>29</v>
      </c>
      <c r="C114" s="242" t="s">
        <v>313</v>
      </c>
      <c r="D114" s="99" t="s">
        <v>624</v>
      </c>
      <c r="E114" s="99" t="s">
        <v>631</v>
      </c>
      <c r="F114" s="95"/>
      <c r="G114" s="95"/>
      <c r="H114" s="95"/>
    </row>
    <row r="115" spans="2:8" x14ac:dyDescent="0.25">
      <c r="B115" s="243"/>
      <c r="C115" s="243"/>
      <c r="D115" s="105" t="s">
        <v>615</v>
      </c>
      <c r="E115" s="99" t="s">
        <v>632</v>
      </c>
      <c r="F115" s="95">
        <v>1397</v>
      </c>
      <c r="G115" s="95">
        <v>1386</v>
      </c>
      <c r="H115" s="95">
        <v>1386</v>
      </c>
    </row>
    <row r="116" spans="2:8" ht="15.75" thickBot="1" x14ac:dyDescent="0.3">
      <c r="B116" s="243"/>
      <c r="C116" s="244"/>
      <c r="D116" s="100" t="s">
        <v>571</v>
      </c>
      <c r="E116" s="108"/>
      <c r="F116" s="108"/>
      <c r="G116" s="108"/>
      <c r="H116" s="108"/>
    </row>
    <row r="117" spans="2:8" x14ac:dyDescent="0.25">
      <c r="B117" s="243"/>
      <c r="C117" s="229" t="s">
        <v>633</v>
      </c>
      <c r="D117" s="229"/>
      <c r="E117" s="229"/>
      <c r="F117" s="240">
        <v>21967.599999999999</v>
      </c>
      <c r="G117" s="240">
        <v>22055.1</v>
      </c>
      <c r="H117" s="240">
        <v>12875.5</v>
      </c>
    </row>
    <row r="118" spans="2:8" ht="15.75" thickBot="1" x14ac:dyDescent="0.3">
      <c r="B118" s="244"/>
      <c r="C118" s="231"/>
      <c r="D118" s="231"/>
      <c r="E118" s="231"/>
      <c r="F118" s="241" t="s">
        <v>634</v>
      </c>
      <c r="G118" s="241"/>
      <c r="H118" s="241"/>
    </row>
    <row r="119" spans="2:8" x14ac:dyDescent="0.25">
      <c r="B119" s="242">
        <v>30</v>
      </c>
      <c r="C119" s="242" t="s">
        <v>444</v>
      </c>
      <c r="D119" s="105" t="s">
        <v>615</v>
      </c>
      <c r="E119" s="242" t="s">
        <v>512</v>
      </c>
      <c r="F119" s="245">
        <v>540</v>
      </c>
      <c r="G119" s="245">
        <v>540</v>
      </c>
      <c r="H119" s="245">
        <v>540</v>
      </c>
    </row>
    <row r="120" spans="2:8" x14ac:dyDescent="0.25">
      <c r="B120" s="243"/>
      <c r="C120" s="243"/>
      <c r="D120" s="105" t="s">
        <v>595</v>
      </c>
      <c r="E120" s="243"/>
      <c r="F120" s="246"/>
      <c r="G120" s="246"/>
      <c r="H120" s="246"/>
    </row>
    <row r="121" spans="2:8" ht="26.25" thickBot="1" x14ac:dyDescent="0.3">
      <c r="B121" s="243"/>
      <c r="C121" s="244"/>
      <c r="D121" s="100" t="s">
        <v>635</v>
      </c>
      <c r="E121" s="244"/>
      <c r="F121" s="247"/>
      <c r="G121" s="247"/>
      <c r="H121" s="247"/>
    </row>
    <row r="122" spans="2:8" ht="64.5" thickBot="1" x14ac:dyDescent="0.3">
      <c r="B122" s="244"/>
      <c r="C122" s="109" t="s">
        <v>636</v>
      </c>
      <c r="D122" s="109"/>
      <c r="E122" s="109"/>
      <c r="F122" s="107">
        <v>3148</v>
      </c>
      <c r="G122" s="107">
        <v>3148</v>
      </c>
      <c r="H122" s="107">
        <v>3148</v>
      </c>
    </row>
    <row r="123" spans="2:8" ht="63.75" x14ac:dyDescent="0.25">
      <c r="B123" s="229">
        <v>31</v>
      </c>
      <c r="C123" s="112" t="s">
        <v>637</v>
      </c>
      <c r="D123" s="111" t="s">
        <v>624</v>
      </c>
      <c r="E123" s="229" t="s">
        <v>505</v>
      </c>
      <c r="F123" s="234">
        <v>30762</v>
      </c>
      <c r="G123" s="234">
        <v>30762</v>
      </c>
      <c r="H123" s="234">
        <v>30762</v>
      </c>
    </row>
    <row r="124" spans="2:8" x14ac:dyDescent="0.25">
      <c r="B124" s="230"/>
      <c r="C124" s="112" t="s">
        <v>638</v>
      </c>
      <c r="D124" s="112" t="s">
        <v>615</v>
      </c>
      <c r="E124" s="230"/>
      <c r="F124" s="235"/>
      <c r="G124" s="235"/>
      <c r="H124" s="235"/>
    </row>
    <row r="125" spans="2:8" ht="15.75" thickBot="1" x14ac:dyDescent="0.3">
      <c r="B125" s="231"/>
      <c r="C125" s="113"/>
      <c r="D125" s="114" t="s">
        <v>571</v>
      </c>
      <c r="E125" s="231"/>
      <c r="F125" s="236"/>
      <c r="G125" s="236"/>
      <c r="H125" s="236"/>
    </row>
    <row r="126" spans="2:8" ht="64.5" thickBot="1" x14ac:dyDescent="0.3">
      <c r="B126" s="115"/>
      <c r="C126" s="109" t="s">
        <v>639</v>
      </c>
      <c r="D126" s="114"/>
      <c r="E126" s="109"/>
      <c r="F126" s="107">
        <v>5583.1</v>
      </c>
      <c r="G126" s="116">
        <v>5354.4</v>
      </c>
      <c r="H126" s="116">
        <v>5354.4</v>
      </c>
    </row>
    <row r="127" spans="2:8" ht="63.75" x14ac:dyDescent="0.25">
      <c r="B127" s="229">
        <v>32</v>
      </c>
      <c r="C127" s="112" t="s">
        <v>637</v>
      </c>
      <c r="D127" s="111" t="s">
        <v>624</v>
      </c>
      <c r="E127" s="229" t="s">
        <v>505</v>
      </c>
      <c r="F127" s="237">
        <v>35568</v>
      </c>
      <c r="G127" s="237">
        <v>35568</v>
      </c>
      <c r="H127" s="237">
        <v>35568</v>
      </c>
    </row>
    <row r="128" spans="2:8" x14ac:dyDescent="0.25">
      <c r="B128" s="230"/>
      <c r="C128" s="112" t="s">
        <v>640</v>
      </c>
      <c r="D128" s="112" t="s">
        <v>615</v>
      </c>
      <c r="E128" s="230"/>
      <c r="F128" s="238"/>
      <c r="G128" s="238"/>
      <c r="H128" s="238"/>
    </row>
    <row r="129" spans="2:8" ht="15.75" thickBot="1" x14ac:dyDescent="0.3">
      <c r="B129" s="230"/>
      <c r="C129" s="113"/>
      <c r="D129" s="114" t="s">
        <v>571</v>
      </c>
      <c r="E129" s="231"/>
      <c r="F129" s="239"/>
      <c r="G129" s="239"/>
      <c r="H129" s="239"/>
    </row>
    <row r="130" spans="2:8" ht="64.5" thickBot="1" x14ac:dyDescent="0.3">
      <c r="B130" s="231"/>
      <c r="C130" s="109" t="s">
        <v>641</v>
      </c>
      <c r="D130" s="114"/>
      <c r="E130" s="109"/>
      <c r="F130" s="107">
        <v>3892.9</v>
      </c>
      <c r="G130" s="107">
        <v>3892.9</v>
      </c>
      <c r="H130" s="107">
        <v>3892.9</v>
      </c>
    </row>
    <row r="131" spans="2:8" ht="26.25" thickBot="1" x14ac:dyDescent="0.3">
      <c r="B131" s="229">
        <v>33</v>
      </c>
      <c r="C131" s="229" t="s">
        <v>510</v>
      </c>
      <c r="D131" s="232" t="s">
        <v>515</v>
      </c>
      <c r="E131" s="109" t="s">
        <v>513</v>
      </c>
      <c r="F131" s="107">
        <v>24</v>
      </c>
      <c r="G131" s="107">
        <v>24</v>
      </c>
      <c r="H131" s="107">
        <v>24</v>
      </c>
    </row>
    <row r="132" spans="2:8" ht="26.25" thickBot="1" x14ac:dyDescent="0.3">
      <c r="B132" s="230"/>
      <c r="C132" s="231"/>
      <c r="D132" s="233"/>
      <c r="E132" s="109" t="s">
        <v>514</v>
      </c>
      <c r="F132" s="107">
        <v>1700</v>
      </c>
      <c r="G132" s="107">
        <v>1700</v>
      </c>
      <c r="H132" s="107">
        <v>1700</v>
      </c>
    </row>
    <row r="133" spans="2:8" ht="15.75" thickBot="1" x14ac:dyDescent="0.3">
      <c r="B133" s="230"/>
      <c r="C133" s="229" t="s">
        <v>642</v>
      </c>
      <c r="D133" s="232"/>
      <c r="E133" s="109" t="s">
        <v>643</v>
      </c>
      <c r="F133" s="97">
        <v>5.7</v>
      </c>
      <c r="G133" s="97">
        <v>5.7</v>
      </c>
      <c r="H133" s="97">
        <v>5.7</v>
      </c>
    </row>
    <row r="134" spans="2:8" ht="26.25" thickBot="1" x14ac:dyDescent="0.3">
      <c r="B134" s="231"/>
      <c r="C134" s="231"/>
      <c r="D134" s="233"/>
      <c r="E134" s="109" t="s">
        <v>644</v>
      </c>
      <c r="F134" s="97">
        <v>297</v>
      </c>
      <c r="G134" s="97">
        <v>297</v>
      </c>
      <c r="H134" s="97">
        <v>297</v>
      </c>
    </row>
    <row r="135" spans="2:8" ht="26.25" thickBot="1" x14ac:dyDescent="0.3">
      <c r="B135" s="229">
        <v>34</v>
      </c>
      <c r="C135" s="229" t="s">
        <v>110</v>
      </c>
      <c r="D135" s="232" t="s">
        <v>515</v>
      </c>
      <c r="E135" s="109" t="s">
        <v>513</v>
      </c>
      <c r="F135" s="97">
        <v>4</v>
      </c>
      <c r="G135" s="97">
        <v>4</v>
      </c>
      <c r="H135" s="97">
        <v>4</v>
      </c>
    </row>
    <row r="136" spans="2:8" ht="26.25" thickBot="1" x14ac:dyDescent="0.3">
      <c r="B136" s="230"/>
      <c r="C136" s="231"/>
      <c r="D136" s="233"/>
      <c r="E136" s="109" t="s">
        <v>645</v>
      </c>
      <c r="F136" s="97">
        <v>5</v>
      </c>
      <c r="G136" s="97">
        <v>5</v>
      </c>
      <c r="H136" s="97">
        <v>5</v>
      </c>
    </row>
    <row r="137" spans="2:8" ht="15.75" thickBot="1" x14ac:dyDescent="0.3">
      <c r="B137" s="230"/>
      <c r="C137" s="229" t="s">
        <v>646</v>
      </c>
      <c r="D137" s="232"/>
      <c r="E137" s="109" t="s">
        <v>643</v>
      </c>
      <c r="F137" s="97">
        <v>1</v>
      </c>
      <c r="G137" s="97">
        <v>1</v>
      </c>
      <c r="H137" s="97">
        <v>1</v>
      </c>
    </row>
    <row r="138" spans="2:8" ht="15.75" thickBot="1" x14ac:dyDescent="0.3">
      <c r="B138" s="231"/>
      <c r="C138" s="231"/>
      <c r="D138" s="233"/>
      <c r="E138" s="109" t="s">
        <v>647</v>
      </c>
      <c r="F138" s="97">
        <v>1.1000000000000001</v>
      </c>
      <c r="G138" s="97">
        <v>1.1000000000000001</v>
      </c>
      <c r="H138" s="97">
        <v>1.1000000000000001</v>
      </c>
    </row>
  </sheetData>
  <autoFilter ref="F5:H138"/>
  <mergeCells count="218">
    <mergeCell ref="B2:B4"/>
    <mergeCell ref="C2:C4"/>
    <mergeCell ref="E2:E4"/>
    <mergeCell ref="F2:H2"/>
    <mergeCell ref="B6:B9"/>
    <mergeCell ref="C6:C8"/>
    <mergeCell ref="E6:E8"/>
    <mergeCell ref="F6:F8"/>
    <mergeCell ref="G6:G8"/>
    <mergeCell ref="H6:H8"/>
    <mergeCell ref="B14:B17"/>
    <mergeCell ref="C14:C16"/>
    <mergeCell ref="E14:E16"/>
    <mergeCell ref="F14:F16"/>
    <mergeCell ref="G14:G16"/>
    <mergeCell ref="H14:H16"/>
    <mergeCell ref="B10:B12"/>
    <mergeCell ref="C10:C12"/>
    <mergeCell ref="E10:E12"/>
    <mergeCell ref="F10:F12"/>
    <mergeCell ref="G10:G12"/>
    <mergeCell ref="H10:H12"/>
    <mergeCell ref="B22:B25"/>
    <mergeCell ref="C22:C24"/>
    <mergeCell ref="E22:E25"/>
    <mergeCell ref="F22:F24"/>
    <mergeCell ref="G22:G24"/>
    <mergeCell ref="H22:H24"/>
    <mergeCell ref="B18:B21"/>
    <mergeCell ref="C18:C20"/>
    <mergeCell ref="E18:E20"/>
    <mergeCell ref="F18:F20"/>
    <mergeCell ref="G18:G20"/>
    <mergeCell ref="H18:H20"/>
    <mergeCell ref="B35:B38"/>
    <mergeCell ref="C35:C37"/>
    <mergeCell ref="E35:E37"/>
    <mergeCell ref="F35:F37"/>
    <mergeCell ref="G35:G37"/>
    <mergeCell ref="H35:H37"/>
    <mergeCell ref="G29:G30"/>
    <mergeCell ref="H29:H30"/>
    <mergeCell ref="B31:B34"/>
    <mergeCell ref="C31:C33"/>
    <mergeCell ref="E31:E33"/>
    <mergeCell ref="F31:F33"/>
    <mergeCell ref="G31:G33"/>
    <mergeCell ref="H31:H33"/>
    <mergeCell ref="B26:B30"/>
    <mergeCell ref="C26:C28"/>
    <mergeCell ref="E26:E28"/>
    <mergeCell ref="F26:F28"/>
    <mergeCell ref="G26:G28"/>
    <mergeCell ref="H26:H28"/>
    <mergeCell ref="C29:C30"/>
    <mergeCell ref="D29:D30"/>
    <mergeCell ref="E29:E30"/>
    <mergeCell ref="F29:F30"/>
    <mergeCell ref="B42:B45"/>
    <mergeCell ref="C42:C44"/>
    <mergeCell ref="E42:E44"/>
    <mergeCell ref="F42:F44"/>
    <mergeCell ref="G42:G44"/>
    <mergeCell ref="H42:H44"/>
    <mergeCell ref="B39:B40"/>
    <mergeCell ref="C39:C40"/>
    <mergeCell ref="E39:E40"/>
    <mergeCell ref="F39:F40"/>
    <mergeCell ref="G39:G40"/>
    <mergeCell ref="H39:H40"/>
    <mergeCell ref="B50:B53"/>
    <mergeCell ref="C50:C52"/>
    <mergeCell ref="E50:E52"/>
    <mergeCell ref="F50:F52"/>
    <mergeCell ref="G50:G52"/>
    <mergeCell ref="H50:H52"/>
    <mergeCell ref="B46:B49"/>
    <mergeCell ref="C46:C48"/>
    <mergeCell ref="E46:E48"/>
    <mergeCell ref="F46:F48"/>
    <mergeCell ref="G46:G48"/>
    <mergeCell ref="H46:H48"/>
    <mergeCell ref="B57:B60"/>
    <mergeCell ref="C57:C59"/>
    <mergeCell ref="E57:E59"/>
    <mergeCell ref="F57:F59"/>
    <mergeCell ref="G57:G59"/>
    <mergeCell ref="H57:H59"/>
    <mergeCell ref="B54:B56"/>
    <mergeCell ref="C54:C55"/>
    <mergeCell ref="E54:E55"/>
    <mergeCell ref="F54:F55"/>
    <mergeCell ref="G54:G55"/>
    <mergeCell ref="H54:H55"/>
    <mergeCell ref="B65:B67"/>
    <mergeCell ref="C65:C66"/>
    <mergeCell ref="E65:E66"/>
    <mergeCell ref="F65:F66"/>
    <mergeCell ref="G65:G66"/>
    <mergeCell ref="H65:H66"/>
    <mergeCell ref="B61:B63"/>
    <mergeCell ref="C61:C63"/>
    <mergeCell ref="E61:E63"/>
    <mergeCell ref="F61:F63"/>
    <mergeCell ref="G61:G63"/>
    <mergeCell ref="H61:H63"/>
    <mergeCell ref="G71:G72"/>
    <mergeCell ref="H71:H72"/>
    <mergeCell ref="B73:B75"/>
    <mergeCell ref="C73:C74"/>
    <mergeCell ref="E73:E74"/>
    <mergeCell ref="F73:F74"/>
    <mergeCell ref="G73:G74"/>
    <mergeCell ref="H73:H74"/>
    <mergeCell ref="B68:B72"/>
    <mergeCell ref="C68:C70"/>
    <mergeCell ref="E68:E70"/>
    <mergeCell ref="F68:F70"/>
    <mergeCell ref="G68:G70"/>
    <mergeCell ref="H68:H70"/>
    <mergeCell ref="C71:C72"/>
    <mergeCell ref="D71:D72"/>
    <mergeCell ref="E71:E72"/>
    <mergeCell ref="F71:F72"/>
    <mergeCell ref="B80:B83"/>
    <mergeCell ref="C80:C82"/>
    <mergeCell ref="E80:E82"/>
    <mergeCell ref="F80:F82"/>
    <mergeCell ref="G80:G82"/>
    <mergeCell ref="H80:H82"/>
    <mergeCell ref="B76:B79"/>
    <mergeCell ref="C76:C78"/>
    <mergeCell ref="E76:E78"/>
    <mergeCell ref="F76:F78"/>
    <mergeCell ref="G76:G78"/>
    <mergeCell ref="H76:H78"/>
    <mergeCell ref="B87:B89"/>
    <mergeCell ref="C87:C88"/>
    <mergeCell ref="E87:E88"/>
    <mergeCell ref="F87:F88"/>
    <mergeCell ref="G87:G88"/>
    <mergeCell ref="H87:H88"/>
    <mergeCell ref="B84:B86"/>
    <mergeCell ref="C84:C85"/>
    <mergeCell ref="E84:E85"/>
    <mergeCell ref="F84:F85"/>
    <mergeCell ref="G84:G85"/>
    <mergeCell ref="H84:H85"/>
    <mergeCell ref="B93:B96"/>
    <mergeCell ref="C93:C95"/>
    <mergeCell ref="E93:E95"/>
    <mergeCell ref="F93:F95"/>
    <mergeCell ref="G93:G95"/>
    <mergeCell ref="H93:H95"/>
    <mergeCell ref="B90:B92"/>
    <mergeCell ref="C90:C91"/>
    <mergeCell ref="E90:E91"/>
    <mergeCell ref="F90:F91"/>
    <mergeCell ref="G90:G91"/>
    <mergeCell ref="H90:H91"/>
    <mergeCell ref="B101:B105"/>
    <mergeCell ref="C101:C104"/>
    <mergeCell ref="E101:E104"/>
    <mergeCell ref="F101:F104"/>
    <mergeCell ref="G101:G104"/>
    <mergeCell ref="H101:H104"/>
    <mergeCell ref="B97:B99"/>
    <mergeCell ref="C97:C99"/>
    <mergeCell ref="E97:E99"/>
    <mergeCell ref="F97:F99"/>
    <mergeCell ref="G97:G99"/>
    <mergeCell ref="H97:H99"/>
    <mergeCell ref="B110:B113"/>
    <mergeCell ref="C110:C112"/>
    <mergeCell ref="E110:E112"/>
    <mergeCell ref="F110:F112"/>
    <mergeCell ref="G110:G112"/>
    <mergeCell ref="H110:H112"/>
    <mergeCell ref="B106:B109"/>
    <mergeCell ref="C106:C108"/>
    <mergeCell ref="E106:E108"/>
    <mergeCell ref="F106:F108"/>
    <mergeCell ref="G106:G108"/>
    <mergeCell ref="H106:H108"/>
    <mergeCell ref="H117:H118"/>
    <mergeCell ref="B119:B122"/>
    <mergeCell ref="C119:C121"/>
    <mergeCell ref="E119:E121"/>
    <mergeCell ref="F119:F121"/>
    <mergeCell ref="G119:G121"/>
    <mergeCell ref="H119:H121"/>
    <mergeCell ref="F117:F118"/>
    <mergeCell ref="B114:B118"/>
    <mergeCell ref="C114:C116"/>
    <mergeCell ref="C117:C118"/>
    <mergeCell ref="D117:D118"/>
    <mergeCell ref="E117:E118"/>
    <mergeCell ref="G117:G118"/>
    <mergeCell ref="B123:B125"/>
    <mergeCell ref="E123:E125"/>
    <mergeCell ref="F123:F125"/>
    <mergeCell ref="G123:G125"/>
    <mergeCell ref="H123:H125"/>
    <mergeCell ref="B127:B130"/>
    <mergeCell ref="E127:E129"/>
    <mergeCell ref="F127:F129"/>
    <mergeCell ref="G127:G129"/>
    <mergeCell ref="H127:H129"/>
    <mergeCell ref="B131:B134"/>
    <mergeCell ref="C131:C132"/>
    <mergeCell ref="D131:D132"/>
    <mergeCell ref="C133:C134"/>
    <mergeCell ref="D133:D134"/>
    <mergeCell ref="B135:B138"/>
    <mergeCell ref="C135:C136"/>
    <mergeCell ref="D135:D136"/>
    <mergeCell ref="C137:C138"/>
    <mergeCell ref="D137:D1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Отчет 2025 год</vt:lpstr>
      <vt:lpstr>Лист2</vt:lpstr>
      <vt:lpstr>Лист1!Заголовки_для_печати</vt:lpstr>
      <vt:lpstr>'Отчет 2025 год'!Заголовки_для_печати</vt:lpstr>
      <vt:lpstr>Лист1!Область_печати</vt:lpstr>
      <vt:lpstr>'Отчет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Таначева Наталья Алексеевна</dc:creator>
  <cp:lastModifiedBy>PK</cp:lastModifiedBy>
  <cp:lastPrinted>2023-11-07T07:09:17Z</cp:lastPrinted>
  <dcterms:created xsi:type="dcterms:W3CDTF">2023-09-14T10:04:25Z</dcterms:created>
  <dcterms:modified xsi:type="dcterms:W3CDTF">2024-11-11T02:49:00Z</dcterms:modified>
</cp:coreProperties>
</file>